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workbookProtection workbookAlgorithmName="SHA-512" workbookHashValue="whoVIMR+QvjVwTZT5HpRxwmCCvDzAyocxmslQ2gyGd7ulsJwdAfjJGYGTR+zO1dDchUiCYlAaW5WYs/4/wCfhw==" workbookSaltValue="aX72lBgNf4EQOdGwsYDcHA==" workbookSpinCount="100000" lockStructure="1"/>
  <bookViews>
    <workbookView xWindow="0" yWindow="0" windowWidth="14268" windowHeight="9132" activeTab="1"/>
  </bookViews>
  <sheets>
    <sheet name="Servings to DF Pounds" sheetId="4" r:id="rId1"/>
    <sheet name="Cases to DF Pounds" sheetId="6" r:id="rId2"/>
    <sheet name="Monthly Planner" sheetId="8" r:id="rId3"/>
    <sheet name="Dashboard Tables (SERVINGS)" sheetId="7" state="hidden" r:id="rId4"/>
    <sheet name="Dashboard Tables (DF POUNDS)" sheetId="5" state="hidden" r:id="rId5"/>
  </sheets>
  <externalReferences>
    <externalReference r:id="rId6"/>
  </externalReferences>
  <definedNames>
    <definedName name="_xlnm.Print_Area" localSheetId="1">'Cases to DF Pounds'!$C$1:$N$51</definedName>
    <definedName name="_xlnm.Print_Area" localSheetId="2">'Monthly Planner'!$C$1:$P$50</definedName>
    <definedName name="_xlnm.Print_Area" localSheetId="0">'Servings to DF Pounds'!$C$1:$P$51</definedName>
    <definedName name="switch" localSheetId="1">#REF!</definedName>
    <definedName name="switch" localSheetId="3">#REF!</definedName>
    <definedName name="switch" localSheetId="2">#REF!</definedName>
    <definedName name="switc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6" l="1"/>
  <c r="K61" i="8" l="1"/>
  <c r="M50" i="8"/>
  <c r="Q29" i="8"/>
  <c r="I29" i="8"/>
  <c r="N60" i="6"/>
  <c r="K57" i="4"/>
  <c r="L57" i="4" s="1"/>
  <c r="O57" i="4" s="1"/>
  <c r="K55" i="4"/>
  <c r="L55" i="4" s="1"/>
  <c r="O55" i="4" s="1"/>
  <c r="K56" i="4"/>
  <c r="L56" i="4" s="1"/>
  <c r="O56" i="4" s="1"/>
  <c r="K58" i="4"/>
  <c r="L58" i="4" s="1"/>
  <c r="K59" i="4"/>
  <c r="L59" i="4" s="1"/>
  <c r="O59" i="4" s="1"/>
  <c r="J60" i="4"/>
  <c r="M59" i="6"/>
  <c r="L59" i="6"/>
  <c r="K59" i="6"/>
  <c r="M58" i="6"/>
  <c r="L58" i="6"/>
  <c r="K58" i="6"/>
  <c r="M57" i="6"/>
  <c r="L57" i="6"/>
  <c r="K57" i="6"/>
  <c r="M56" i="6"/>
  <c r="L56" i="6"/>
  <c r="K56" i="6"/>
  <c r="M55" i="6"/>
  <c r="L55" i="6"/>
  <c r="K55" i="6"/>
  <c r="K40" i="4"/>
  <c r="L40" i="4" s="1"/>
  <c r="N40" i="4" s="1"/>
  <c r="K39" i="4"/>
  <c r="L39" i="4" s="1"/>
  <c r="P39" i="4" s="1"/>
  <c r="K38" i="4"/>
  <c r="L38" i="4" s="1"/>
  <c r="N38" i="4" s="1"/>
  <c r="K37" i="4"/>
  <c r="K36" i="4"/>
  <c r="K35" i="4"/>
  <c r="K34" i="4"/>
  <c r="K16" i="4"/>
  <c r="O13" i="4"/>
  <c r="K14" i="4"/>
  <c r="K15" i="4"/>
  <c r="K23" i="4"/>
  <c r="K21" i="4"/>
  <c r="K20" i="4"/>
  <c r="K19" i="4"/>
  <c r="K18" i="4"/>
  <c r="K17" i="4"/>
  <c r="N45" i="6"/>
  <c r="N46" i="6"/>
  <c r="N47" i="6"/>
  <c r="N48" i="6"/>
  <c r="N49" i="6"/>
  <c r="N50" i="6"/>
  <c r="M45" i="6"/>
  <c r="M46" i="6"/>
  <c r="M47" i="6"/>
  <c r="M48" i="6"/>
  <c r="M49" i="6"/>
  <c r="M50" i="6"/>
  <c r="L45" i="6"/>
  <c r="L46" i="6"/>
  <c r="L47" i="6"/>
  <c r="L48" i="6"/>
  <c r="L49" i="6"/>
  <c r="L50" i="6"/>
  <c r="N40" i="6"/>
  <c r="N39" i="6"/>
  <c r="N38" i="6"/>
  <c r="N35" i="6"/>
  <c r="L34" i="6"/>
  <c r="L35" i="6"/>
  <c r="L36" i="6"/>
  <c r="L37" i="6"/>
  <c r="L38" i="6"/>
  <c r="L39" i="6"/>
  <c r="L40" i="6"/>
  <c r="K34" i="6"/>
  <c r="K35" i="6"/>
  <c r="K36" i="6"/>
  <c r="K37" i="6"/>
  <c r="K38" i="6"/>
  <c r="K39" i="6"/>
  <c r="K40" i="6"/>
  <c r="M23" i="6"/>
  <c r="M13" i="6"/>
  <c r="M14" i="6"/>
  <c r="M15" i="6"/>
  <c r="M16" i="6"/>
  <c r="M17" i="6"/>
  <c r="M18" i="6"/>
  <c r="M19" i="6"/>
  <c r="M20" i="6"/>
  <c r="M21" i="6"/>
  <c r="M24" i="6"/>
  <c r="M25" i="6"/>
  <c r="M26" i="6"/>
  <c r="M27" i="6"/>
  <c r="M28" i="6"/>
  <c r="L40" i="8" l="1"/>
  <c r="H50" i="8"/>
  <c r="P50" i="8"/>
  <c r="P61" i="8"/>
  <c r="N40" i="8"/>
  <c r="J50" i="8"/>
  <c r="R50" i="8"/>
  <c r="L61" i="8"/>
  <c r="J40" i="8"/>
  <c r="K50" i="8"/>
  <c r="G61" i="8"/>
  <c r="O61" i="8"/>
  <c r="S44" i="8"/>
  <c r="S46" i="8"/>
  <c r="S48" i="8"/>
  <c r="F48" i="8" s="1"/>
  <c r="L29" i="8"/>
  <c r="L50" i="8"/>
  <c r="M29" i="8"/>
  <c r="M40" i="8"/>
  <c r="I50" i="8"/>
  <c r="Q50" i="8"/>
  <c r="I61" i="8"/>
  <c r="S20" i="8"/>
  <c r="Q61" i="8"/>
  <c r="J29" i="8"/>
  <c r="R29" i="8"/>
  <c r="S25" i="8"/>
  <c r="R40" i="8"/>
  <c r="H61" i="8"/>
  <c r="S59" i="8"/>
  <c r="S18" i="8"/>
  <c r="S23" i="8"/>
  <c r="S33" i="8"/>
  <c r="F33" i="8" s="1"/>
  <c r="O40" i="8"/>
  <c r="K29" i="8"/>
  <c r="S15" i="8"/>
  <c r="O29" i="8"/>
  <c r="S17" i="8"/>
  <c r="S21" i="8"/>
  <c r="S24" i="8"/>
  <c r="S26" i="8"/>
  <c r="K40" i="8"/>
  <c r="S34" i="8"/>
  <c r="F34" i="8" s="1"/>
  <c r="S38" i="8"/>
  <c r="F38" i="8" s="1"/>
  <c r="S39" i="8"/>
  <c r="F39" i="8" s="1"/>
  <c r="N50" i="8"/>
  <c r="S47" i="8"/>
  <c r="F47" i="8" s="1"/>
  <c r="M61" i="8"/>
  <c r="O50" i="8"/>
  <c r="S56" i="8"/>
  <c r="F56" i="8" s="1"/>
  <c r="N61" i="8"/>
  <c r="N29" i="8"/>
  <c r="S36" i="8"/>
  <c r="S60" i="8"/>
  <c r="S19" i="8"/>
  <c r="S27" i="8"/>
  <c r="S35" i="8"/>
  <c r="F35" i="8" s="1"/>
  <c r="S37" i="8"/>
  <c r="F37" i="8" s="1"/>
  <c r="H29" i="8"/>
  <c r="P29" i="8"/>
  <c r="H40" i="8"/>
  <c r="P40" i="8"/>
  <c r="S45" i="8"/>
  <c r="J61" i="8"/>
  <c r="R61" i="8"/>
  <c r="S58" i="8"/>
  <c r="F58" i="8" s="1"/>
  <c r="S14" i="8"/>
  <c r="S28" i="8"/>
  <c r="I40" i="8"/>
  <c r="Q40" i="8"/>
  <c r="S49" i="8"/>
  <c r="S55" i="8"/>
  <c r="F55" i="8" s="1"/>
  <c r="S57" i="8"/>
  <c r="F57" i="8" s="1"/>
  <c r="G29" i="8"/>
  <c r="G40" i="8"/>
  <c r="S54" i="8"/>
  <c r="F54" i="8" s="1"/>
  <c r="G50" i="8"/>
  <c r="S16" i="8"/>
  <c r="P60" i="4"/>
  <c r="K60" i="6"/>
  <c r="N58" i="4"/>
  <c r="O58" i="4"/>
  <c r="O60" i="4" s="1"/>
  <c r="N59" i="4"/>
  <c r="M59" i="4"/>
  <c r="M58" i="4"/>
  <c r="M57" i="4"/>
  <c r="N57" i="4"/>
  <c r="M56" i="4"/>
  <c r="N56" i="4"/>
  <c r="M55" i="4"/>
  <c r="N55" i="4"/>
  <c r="L60" i="6"/>
  <c r="M60" i="6"/>
  <c r="P40" i="4"/>
  <c r="M40" i="4"/>
  <c r="P38" i="4"/>
  <c r="N39" i="4"/>
  <c r="M39" i="4"/>
  <c r="M38" i="4"/>
  <c r="S50" i="8" l="1"/>
  <c r="S40" i="8"/>
  <c r="S29" i="8"/>
  <c r="S61" i="8"/>
  <c r="N60" i="4"/>
  <c r="M60" i="4"/>
  <c r="L13" i="6"/>
  <c r="L14" i="6"/>
  <c r="L15" i="6"/>
  <c r="L16" i="6"/>
  <c r="L17" i="6"/>
  <c r="L18" i="6"/>
  <c r="L19" i="6"/>
  <c r="L20" i="6"/>
  <c r="L21" i="6"/>
  <c r="L23" i="6"/>
  <c r="L24" i="6"/>
  <c r="L25" i="6"/>
  <c r="L26" i="6"/>
  <c r="L27" i="6"/>
  <c r="L28" i="6"/>
  <c r="N13" i="4"/>
  <c r="L23" i="4" l="1"/>
  <c r="L14" i="4"/>
  <c r="F14" i="8" s="1"/>
  <c r="K23" i="6"/>
  <c r="O23" i="4" l="1"/>
  <c r="F23" i="8"/>
  <c r="O14" i="4"/>
  <c r="N14" i="4"/>
  <c r="N23" i="4"/>
  <c r="M23" i="4"/>
  <c r="M14" i="4"/>
  <c r="K47" i="6" l="1"/>
  <c r="K47" i="4"/>
  <c r="K28" i="4"/>
  <c r="K26" i="4"/>
  <c r="K24" i="4"/>
  <c r="L21" i="4" l="1"/>
  <c r="F21" i="8" s="1"/>
  <c r="L20" i="4"/>
  <c r="F20" i="8" s="1"/>
  <c r="L19" i="4"/>
  <c r="F19" i="8" s="1"/>
  <c r="L18" i="4"/>
  <c r="F18" i="8" s="1"/>
  <c r="L17" i="4"/>
  <c r="F17" i="8" s="1"/>
  <c r="L16" i="4"/>
  <c r="F16" i="8" s="1"/>
  <c r="K19" i="6"/>
  <c r="K16" i="6"/>
  <c r="N34" i="6"/>
  <c r="N36" i="6"/>
  <c r="N37" i="6"/>
  <c r="L15" i="4"/>
  <c r="F15" i="8" s="1"/>
  <c r="L24" i="4"/>
  <c r="F24" i="8" s="1"/>
  <c r="K25" i="4"/>
  <c r="L25" i="4" s="1"/>
  <c r="F25" i="8" s="1"/>
  <c r="L26" i="4"/>
  <c r="F26" i="8" s="1"/>
  <c r="K27" i="4"/>
  <c r="L27" i="4" s="1"/>
  <c r="F27" i="8" s="1"/>
  <c r="L28" i="4"/>
  <c r="F28" i="8" s="1"/>
  <c r="L34" i="4"/>
  <c r="N34" i="4" s="1"/>
  <c r="L35" i="4"/>
  <c r="L36" i="4"/>
  <c r="L37" i="4"/>
  <c r="K50" i="4"/>
  <c r="L50" i="4" s="1"/>
  <c r="F49" i="8" s="1"/>
  <c r="K49" i="4"/>
  <c r="L49" i="4" s="1"/>
  <c r="K48" i="4"/>
  <c r="L48" i="4" s="1"/>
  <c r="L47" i="4"/>
  <c r="F46" i="8" s="1"/>
  <c r="K46" i="4"/>
  <c r="L46" i="4" s="1"/>
  <c r="F45" i="8" s="1"/>
  <c r="K45" i="4"/>
  <c r="L45" i="4" s="1"/>
  <c r="F44" i="8" s="1"/>
  <c r="K17" i="6"/>
  <c r="K20" i="6"/>
  <c r="K18" i="6"/>
  <c r="K14" i="6"/>
  <c r="K28" i="6"/>
  <c r="K27" i="6"/>
  <c r="K26" i="6"/>
  <c r="K25" i="6"/>
  <c r="K24" i="6"/>
  <c r="K21" i="6"/>
  <c r="K15" i="6"/>
  <c r="K50" i="6"/>
  <c r="K49" i="6"/>
  <c r="K48" i="6"/>
  <c r="K46" i="6"/>
  <c r="K45" i="6"/>
  <c r="J51" i="6"/>
  <c r="J41" i="6"/>
  <c r="J29" i="6"/>
  <c r="N37" i="4" l="1"/>
  <c r="F36" i="8"/>
  <c r="M47" i="4"/>
  <c r="O47" i="4"/>
  <c r="P47" i="4"/>
  <c r="N46" i="4"/>
  <c r="O46" i="4"/>
  <c r="P46" i="4"/>
  <c r="N48" i="4"/>
  <c r="O48" i="4"/>
  <c r="P48" i="4"/>
  <c r="N45" i="4"/>
  <c r="O45" i="4"/>
  <c r="P45" i="4"/>
  <c r="N50" i="4"/>
  <c r="O50" i="4"/>
  <c r="P50" i="4"/>
  <c r="N49" i="4"/>
  <c r="O49" i="4"/>
  <c r="P49" i="4"/>
  <c r="N36" i="4"/>
  <c r="M36" i="4"/>
  <c r="N35" i="4"/>
  <c r="P35" i="4"/>
  <c r="M35" i="4"/>
  <c r="N28" i="4"/>
  <c r="O28" i="4"/>
  <c r="N27" i="4"/>
  <c r="O27" i="4"/>
  <c r="N26" i="4"/>
  <c r="O26" i="4"/>
  <c r="N25" i="4"/>
  <c r="O25" i="4"/>
  <c r="K29" i="4"/>
  <c r="N24" i="4"/>
  <c r="O24" i="4"/>
  <c r="N21" i="4"/>
  <c r="O21" i="4"/>
  <c r="N20" i="4"/>
  <c r="O20" i="4"/>
  <c r="N19" i="4"/>
  <c r="O19" i="4"/>
  <c r="N18" i="4"/>
  <c r="O18" i="4"/>
  <c r="N17" i="4"/>
  <c r="O17" i="4"/>
  <c r="N15" i="4"/>
  <c r="O15" i="4"/>
  <c r="N16" i="4"/>
  <c r="O16" i="4"/>
  <c r="N47" i="4"/>
  <c r="L29" i="4"/>
  <c r="M29" i="6"/>
  <c r="L29" i="6"/>
  <c r="L51" i="6"/>
  <c r="K51" i="6"/>
  <c r="L41" i="6"/>
  <c r="N51" i="6"/>
  <c r="K41" i="6"/>
  <c r="M51" i="6"/>
  <c r="N41" i="6"/>
  <c r="M17" i="4"/>
  <c r="M50" i="4"/>
  <c r="M18" i="4"/>
  <c r="M25" i="4"/>
  <c r="M28" i="4"/>
  <c r="M46" i="4"/>
  <c r="M48" i="4"/>
  <c r="M49" i="4"/>
  <c r="M45" i="4"/>
  <c r="L51" i="4"/>
  <c r="M37" i="4"/>
  <c r="P37" i="4"/>
  <c r="M34" i="4"/>
  <c r="L41" i="4"/>
  <c r="P34" i="4"/>
  <c r="P36" i="4"/>
  <c r="M24" i="4"/>
  <c r="M26" i="4"/>
  <c r="M27" i="4"/>
  <c r="M20" i="4"/>
  <c r="M15" i="4"/>
  <c r="M16" i="4"/>
  <c r="M21" i="4"/>
  <c r="M19" i="4"/>
  <c r="K29" i="6"/>
  <c r="N24" i="5" l="1"/>
  <c r="E14" i="5"/>
  <c r="F18" i="5" s="1"/>
  <c r="E6" i="5"/>
  <c r="F6" i="5"/>
  <c r="M29" i="4"/>
  <c r="O29" i="4"/>
  <c r="N29" i="4"/>
  <c r="P41" i="4"/>
  <c r="O51" i="4"/>
  <c r="N51" i="4"/>
  <c r="M51" i="4"/>
  <c r="P51" i="4"/>
  <c r="M41" i="4"/>
  <c r="N41" i="4"/>
  <c r="M20" i="7" l="1"/>
  <c r="E14" i="7"/>
  <c r="F6" i="7"/>
  <c r="E6" i="7"/>
  <c r="I18" i="5"/>
  <c r="G31" i="6" s="1" a="1"/>
  <c r="G31" i="6" s="1"/>
  <c r="E18" i="5"/>
  <c r="H18" i="5"/>
  <c r="N32" i="6" s="1"/>
  <c r="G18" i="5"/>
  <c r="N31" i="6" s="1"/>
  <c r="J32" i="6" l="1"/>
  <c r="G28" i="7"/>
  <c r="G17" i="7"/>
  <c r="H17" i="7" s="1"/>
  <c r="J31" i="6"/>
  <c r="G25" i="7"/>
  <c r="G21" i="7"/>
  <c r="G14" i="7"/>
  <c r="H28" i="7" l="1"/>
  <c r="J28" i="7"/>
  <c r="J17" i="7"/>
  <c r="I17" i="7" s="1"/>
  <c r="J14" i="7"/>
  <c r="H14" i="7"/>
  <c r="H21" i="7"/>
  <c r="J21" i="7"/>
  <c r="H25" i="7"/>
  <c r="J25" i="7"/>
  <c r="I28" i="7" l="1"/>
  <c r="H31" i="4" s="1" a="1"/>
  <c r="H31" i="4" s="1"/>
  <c r="I21" i="7"/>
  <c r="P31" i="4" s="1"/>
  <c r="I14" i="7"/>
  <c r="L31" i="4" s="1"/>
  <c r="I25" i="7"/>
  <c r="P32" i="4" s="1"/>
  <c r="L32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<sst xmlns="http://schemas.openxmlformats.org/spreadsheetml/2006/main" count="496" uniqueCount="130">
  <si>
    <t>Item Code</t>
  </si>
  <si>
    <t>Product Description</t>
  </si>
  <si>
    <t>Avg. Wt. Per Serving</t>
  </si>
  <si>
    <t>Total Servings</t>
  </si>
  <si>
    <t>Total Sevings Provided</t>
  </si>
  <si>
    <t>DF $ Value Per Case</t>
  </si>
  <si>
    <t>Avg. Servings Per Case</t>
  </si>
  <si>
    <t>DF $ Value</t>
  </si>
  <si>
    <t>DF Pounds Dark Per Case</t>
  </si>
  <si>
    <t>DF Pounds White Per Case</t>
  </si>
  <si>
    <t>DF Pounds WHITE</t>
  </si>
  <si>
    <t>DF Pounds DARK</t>
  </si>
  <si>
    <t>Servings Needed</t>
  </si>
  <si>
    <t xml:space="preserve">Dark Servings </t>
  </si>
  <si>
    <t>Dark Servings Rounded to nearest Case</t>
  </si>
  <si>
    <t>Dark Cases Rounded</t>
  </si>
  <si>
    <t>Svg. Rounded by Case</t>
  </si>
  <si>
    <t>Popper Dark Meat Formed Cases</t>
  </si>
  <si>
    <t>Sausage Dark Meat Formed Cases</t>
  </si>
  <si>
    <t>Total DF                    $ Value</t>
  </si>
  <si>
    <t>Finished Cases</t>
  </si>
  <si>
    <t>Dark Pounds Needed to Balance Order</t>
  </si>
  <si>
    <t xml:space="preserve"> Sausage Dark Cases</t>
  </si>
  <si>
    <t>Popper Dark Cases</t>
  </si>
  <si>
    <t>Total DF Pounds to Divert:</t>
  </si>
  <si>
    <t>Sausage Patty Cases Required:</t>
  </si>
  <si>
    <t>Chicken Popper Cases Required:</t>
  </si>
  <si>
    <t>Dark Meat DF Pounds Required</t>
  </si>
  <si>
    <t xml:space="preserve">  </t>
  </si>
  <si>
    <t>Mango Jalapeno Meatball Cases</t>
  </si>
  <si>
    <t>Garlic Basil Meatball Cases</t>
  </si>
  <si>
    <t>Garlic Basil Meatball  Cases</t>
  </si>
  <si>
    <t>White - Dark Meat Portioned Chicken Products</t>
  </si>
  <si>
    <t>20.50 LB.</t>
  </si>
  <si>
    <t>4.10 OZ.</t>
  </si>
  <si>
    <t>2.05 OZ.</t>
  </si>
  <si>
    <t>2/2.05 = 4.10 OZ.</t>
  </si>
  <si>
    <t>4/1.02 = 4.08 OZ.</t>
  </si>
  <si>
    <t>3/1.41 = 4.23 OZ.</t>
  </si>
  <si>
    <t>5/0.84  = 4.20 OZ.</t>
  </si>
  <si>
    <t>3/1.38 = 4.14 OZ.</t>
  </si>
  <si>
    <t>2.80 OZ</t>
  </si>
  <si>
    <t>26.28 LB.</t>
  </si>
  <si>
    <t>47.63 LB.</t>
  </si>
  <si>
    <t>2.60 OZ.</t>
  </si>
  <si>
    <t>5/.52oz= 2.60 OZ.</t>
  </si>
  <si>
    <t>39.27 LB.</t>
  </si>
  <si>
    <t>38.59 LB.</t>
  </si>
  <si>
    <t>53.30 LB.</t>
  </si>
  <si>
    <t>1.37 OZ.</t>
  </si>
  <si>
    <t>31.80 LB.</t>
  </si>
  <si>
    <t>10/0.415 = 4.15 OZ.</t>
  </si>
  <si>
    <t>Chicken Crumble Cases Required:</t>
  </si>
  <si>
    <t>Garlic Basil Meatballs/Patty Cases Required:</t>
  </si>
  <si>
    <t>Jalapeno Mango Meatball/Patty Cases Required:</t>
  </si>
  <si>
    <t>9.24 LB</t>
  </si>
  <si>
    <t>4.17 LB</t>
  </si>
  <si>
    <t>5/.60 = 3.00 OZ.</t>
  </si>
  <si>
    <t>10/.30 = 3.00 OZ.</t>
  </si>
  <si>
    <t>1.50 OZ.</t>
  </si>
  <si>
    <t>3.00 OZ.</t>
  </si>
  <si>
    <t>3/1.00=  3.00 OZ.</t>
  </si>
  <si>
    <t>District:</t>
  </si>
  <si>
    <t>Address:</t>
  </si>
  <si>
    <t xml:space="preserve">City: </t>
  </si>
  <si>
    <t>State:</t>
  </si>
  <si>
    <t>Zip:</t>
  </si>
  <si>
    <t>Phone:</t>
  </si>
  <si>
    <t>Email:</t>
  </si>
  <si>
    <t>Chicken Crumble Cases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</si>
  <si>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</si>
  <si>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</si>
  <si>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</si>
  <si>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</si>
  <si>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</si>
  <si>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</si>
  <si>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</si>
  <si>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</si>
  <si>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</si>
  <si>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</si>
  <si>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</si>
  <si>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</si>
  <si>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Cases</t>
  </si>
  <si>
    <t>Cases to Add to Monthly Planner</t>
  </si>
  <si>
    <t>White Meat Only Chicken Products  (No Soy, No Egg, No Dairy, No Phosphates!)</t>
  </si>
  <si>
    <t>Made From All White Meat Chicken Products</t>
  </si>
  <si>
    <t>Whole Muscle Chicken Products</t>
  </si>
  <si>
    <t>Dark Meat Only Chicken Products</t>
  </si>
  <si>
    <t>No Antibiotics Ever (NAE) Chicken Products</t>
  </si>
  <si>
    <t>Premium Artisan WG Breaded WM Chicken Breast Fillet, NAE</t>
  </si>
  <si>
    <t>Premium Artisan WG Breaded WM Chicken Breast Slider Fillet, NAE</t>
  </si>
  <si>
    <t>Premium Artisan WG Breaded WM Boneless Chicken Wings, NAE</t>
  </si>
  <si>
    <t>Premium Artisan WG Breaded WM Chicken Tenders, NAE</t>
  </si>
  <si>
    <t>WG Breaded Chicken Patty, NAE</t>
  </si>
  <si>
    <t>WG Breaded Chicken Nugget, NAE</t>
  </si>
  <si>
    <t>Premium Artisan WG Breaded Chicken Breast Fillet</t>
  </si>
  <si>
    <t>Premium Artisan WG Breaded Chicken Breast Slider Fillet</t>
  </si>
  <si>
    <t>Premium Artisan WG Breaded Boneless Chicken Wing/Breast Chunk</t>
  </si>
  <si>
    <t xml:space="preserve">Premium Artisan WG Breaded Chicken Breast Tenders </t>
  </si>
  <si>
    <t>Grilled Seasoned Non-Breaded MWWM Chicken Breast Patty</t>
  </si>
  <si>
    <t>Premium Artisan WG Breaded MWWM Chicken Tender</t>
  </si>
  <si>
    <t>Premium Artisan WG Breaded MWWM Chicken Patty</t>
  </si>
  <si>
    <t>Premium Artisan WG Breaded MWWM Chicken Nugget</t>
  </si>
  <si>
    <t>Dark Meat Chicken Sausage Patty</t>
  </si>
  <si>
    <t>Premium Artisan WG Breaded Dark Meat Chicken Poppers</t>
  </si>
  <si>
    <t xml:space="preserve">Roasted Garlic Basil Chicken Meatballs with Mozzarella Cheese </t>
  </si>
  <si>
    <t>Kickin' Chicken Meatballs with Real Mango and Real Jalapeno</t>
  </si>
  <si>
    <t>Roasted Garlic Basil Chicken Patty With Mozzarella Cheese</t>
  </si>
  <si>
    <t>Kickin' Chicken Patty with Real Mango and Real Jalapeno</t>
  </si>
  <si>
    <t>Seasoned Dark Meat Chicken Crumbles</t>
  </si>
  <si>
    <t>WG Breaded W/D Popcorn Chicken</t>
  </si>
  <si>
    <t>WG Breaded W/D Chicken Nugget</t>
  </si>
  <si>
    <t>WG Breaded W/D Chicken Slider Patty</t>
  </si>
  <si>
    <t>WG Breaded W/D Chicken Tender</t>
  </si>
  <si>
    <t>WG Breaded W/D Natural Shape Chicken Patty</t>
  </si>
  <si>
    <r>
      <t xml:space="preserve">Premium Artisan </t>
    </r>
    <r>
      <rPr>
        <b/>
        <i/>
        <sz val="12"/>
        <color rgb="FFFF0000"/>
        <rFont val="Calibri"/>
        <family val="2"/>
      </rPr>
      <t>Spicy</t>
    </r>
    <r>
      <rPr>
        <sz val="12"/>
        <rFont val="Calibri"/>
        <family val="2"/>
      </rPr>
      <t xml:space="preserve"> WG Breaded Chicken Breast Fillet</t>
    </r>
  </si>
  <si>
    <r>
      <t xml:space="preserve">Rich-Fil-Yay! </t>
    </r>
    <r>
      <rPr>
        <b/>
        <i/>
        <sz val="12"/>
        <color rgb="FF00B050"/>
        <rFont val="Calibri"/>
        <family val="2"/>
      </rPr>
      <t>Dill Seasoned</t>
    </r>
    <r>
      <rPr>
        <sz val="12"/>
        <rFont val="Calibri"/>
        <family val="2"/>
      </rPr>
      <t xml:space="preserve"> WG Breaded Chicken Breast Fillet</t>
    </r>
  </si>
  <si>
    <r>
      <t xml:space="preserve">Rich-Fil-Yay! </t>
    </r>
    <r>
      <rPr>
        <b/>
        <i/>
        <sz val="12"/>
        <color rgb="FF00B050"/>
        <rFont val="Calibri"/>
        <family val="2"/>
      </rPr>
      <t>Dill Seasoned</t>
    </r>
    <r>
      <rPr>
        <sz val="12"/>
        <rFont val="Calibri"/>
        <family val="2"/>
      </rPr>
      <t xml:space="preserve"> WG Breaded Boneless Chicken Wing/Breast Chunk</t>
    </r>
  </si>
  <si>
    <r>
      <t xml:space="preserve">Premium Artisan </t>
    </r>
    <r>
      <rPr>
        <b/>
        <i/>
        <sz val="12"/>
        <color rgb="FFFF0000"/>
        <rFont val="Calibri"/>
        <family val="2"/>
      </rPr>
      <t>Spicy</t>
    </r>
    <r>
      <rPr>
        <sz val="12"/>
        <rFont val="Calibri"/>
        <family val="2"/>
      </rPr>
      <t xml:space="preserve"> WG Breaded Chicken Breast Tenders </t>
    </r>
  </si>
  <si>
    <r>
      <t xml:space="preserve">Premium Artisan </t>
    </r>
    <r>
      <rPr>
        <b/>
        <i/>
        <sz val="12"/>
        <color rgb="FFFF0000"/>
        <rFont val="Calibri"/>
        <family val="2"/>
      </rPr>
      <t>Spicy</t>
    </r>
    <r>
      <rPr>
        <sz val="12"/>
        <rFont val="Calibri"/>
        <family val="2"/>
      </rPr>
      <t xml:space="preserve"> WG Breaded MWWM Chicken Patty</t>
    </r>
  </si>
  <si>
    <r>
      <t xml:space="preserve">Premium Artisan </t>
    </r>
    <r>
      <rPr>
        <b/>
        <i/>
        <sz val="12"/>
        <color rgb="FFFF0000"/>
        <rFont val="Calibri"/>
        <family val="2"/>
      </rPr>
      <t>Spicy</t>
    </r>
    <r>
      <rPr>
        <sz val="12"/>
        <rFont val="Calibri"/>
        <family val="2"/>
      </rPr>
      <t xml:space="preserve"> WG Breaded MWWM Chicken Tender</t>
    </r>
  </si>
  <si>
    <r>
      <rPr>
        <b/>
        <i/>
        <sz val="12"/>
        <color rgb="FFFF0000"/>
        <rFont val="Calibri"/>
        <family val="2"/>
      </rPr>
      <t>Spicy</t>
    </r>
    <r>
      <rPr>
        <sz val="12"/>
        <rFont val="Calibri"/>
        <family val="2"/>
      </rPr>
      <t xml:space="preserve"> WG Breaded W/D Natural Shape Chicken Patty</t>
    </r>
  </si>
  <si>
    <r>
      <t xml:space="preserve">Premium Artisan </t>
    </r>
    <r>
      <rPr>
        <b/>
        <i/>
        <sz val="12"/>
        <color rgb="FFFF0000"/>
        <rFont val="Calibri"/>
        <family val="2"/>
      </rPr>
      <t>Spicy</t>
    </r>
    <r>
      <rPr>
        <sz val="12"/>
        <rFont val="Calibri"/>
        <family val="2"/>
      </rPr>
      <t xml:space="preserve"> WG Breaded WM Chicken Breast Fillet, NAE</t>
    </r>
  </si>
  <si>
    <t>Garlic Basil Meatballs/Patty Svgs Required:</t>
  </si>
  <si>
    <t>Chicken Crumble Svgs Required:</t>
  </si>
  <si>
    <t>Sausage Patty Svgs Required:</t>
  </si>
  <si>
    <t>Chicken Popper Svgs Required:</t>
  </si>
  <si>
    <t>Jalapeno Mango Meatball/Patty Svgs Required:</t>
  </si>
  <si>
    <r>
      <t xml:space="preserve">Return to your Broker &amp; </t>
    </r>
    <r>
      <rPr>
        <b/>
        <u/>
        <sz val="24"/>
        <color theme="8" tint="-0.249977111117893"/>
        <rFont val="Calibri"/>
        <family val="2"/>
        <scheme val="minor"/>
      </rPr>
      <t xml:space="preserve">DMiller@richchicks.com </t>
    </r>
  </si>
  <si>
    <r>
      <t xml:space="preserve">Return to your Broker and </t>
    </r>
    <r>
      <rPr>
        <b/>
        <u/>
        <sz val="24"/>
        <color theme="8" tint="-0.249977111117893"/>
        <rFont val="Calibri"/>
        <family val="2"/>
        <scheme val="minor"/>
      </rPr>
      <t>DMiller@richchicks.com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</si>
</sst>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.##"/>
    <numFmt numFmtId="166" formatCode="&quot;$&quot;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"/>
      <family val="2"/>
    </font>
    <font>
      <b/>
      <sz val="28"/>
      <color theme="1"/>
      <name val="Century Gothic"/>
      <family val="2"/>
    </font>
    <font>
      <sz val="14"/>
      <color theme="1"/>
      <name val="Calibri"/>
      <family val="2"/>
      <scheme val="minor"/>
    </font>
    <font>
      <b/>
      <i/>
      <sz val="24"/>
      <color theme="0"/>
      <name val="Calibri"/>
      <family val="2"/>
    </font>
    <font>
      <b/>
      <sz val="18"/>
      <color theme="1"/>
      <name val="Calibri"/>
      <family val="2"/>
    </font>
    <font>
      <b/>
      <i/>
      <sz val="26"/>
      <color theme="0"/>
      <name val="Calibri"/>
      <family val="2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14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6"/>
      <name val="Calibri"/>
      <family val="2"/>
    </font>
    <font>
      <sz val="10"/>
      <color theme="1"/>
      <name val="Calibri"/>
      <family val="2"/>
    </font>
    <font>
      <b/>
      <sz val="20"/>
      <name val="Calibri"/>
      <family val="2"/>
      <scheme val="minor"/>
    </font>
    <font>
      <b/>
      <i/>
      <sz val="22"/>
      <color theme="0"/>
      <name val="Calibri"/>
      <family val="2"/>
    </font>
    <font>
      <b/>
      <i/>
      <sz val="20"/>
      <color theme="0"/>
      <name val="Calibri"/>
      <family val="2"/>
    </font>
    <font>
      <b/>
      <i/>
      <sz val="18"/>
      <color theme="0"/>
      <name val="Calibri"/>
      <family val="2"/>
    </font>
    <font>
      <b/>
      <sz val="36"/>
      <color theme="1"/>
      <name val="Calibri"/>
      <family val="2"/>
    </font>
    <font>
      <b/>
      <sz val="26"/>
      <name val="Calibri"/>
      <family val="2"/>
    </font>
    <font>
      <sz val="14"/>
      <name val="Calibri"/>
      <family val="2"/>
    </font>
    <font>
      <sz val="14"/>
      <color theme="1"/>
      <name val="Calibri"/>
      <family val="2"/>
    </font>
    <font>
      <b/>
      <sz val="24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2"/>
      <name val="Calibri"/>
      <family val="2"/>
    </font>
    <font>
      <b/>
      <i/>
      <sz val="12"/>
      <color rgb="FF00B050"/>
      <name val="Calibri"/>
      <family val="2"/>
    </font>
    <font>
      <b/>
      <i/>
      <sz val="12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24"/>
      <color theme="8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F452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Alignment="1">
      <alignment horizontal="center" vertical="center" wrapText="1"/>
    </xf>
    <xf numFmtId="43" fontId="0" fillId="0" borderId="0" xfId="1" applyFont="1" applyAlignment="1" applyProtection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165" fontId="15" fillId="0" borderId="3" xfId="4" applyNumberFormat="1" applyFont="1" applyFill="1" applyBorder="1" applyAlignment="1" applyProtection="1">
      <alignment horizontal="left" vertical="center"/>
    </xf>
    <xf numFmtId="2" fontId="15" fillId="0" borderId="3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left" vertical="center"/>
    </xf>
    <xf numFmtId="165" fontId="15" fillId="0" borderId="1" xfId="4" applyNumberFormat="1" applyFont="1" applyBorder="1" applyAlignment="1" applyProtection="1">
      <alignment horizontal="left" vertical="center"/>
    </xf>
    <xf numFmtId="0" fontId="15" fillId="0" borderId="1" xfId="2" applyFont="1" applyBorder="1" applyAlignment="1">
      <alignment horizontal="center" vertical="center"/>
    </xf>
    <xf numFmtId="164" fontId="15" fillId="7" borderId="1" xfId="1" applyNumberFormat="1" applyFont="1" applyFill="1" applyBorder="1" applyAlignment="1" applyProtection="1">
      <alignment horizontal="center" vertical="center"/>
    </xf>
    <xf numFmtId="44" fontId="15" fillId="7" borderId="1" xfId="4" applyFont="1" applyFill="1" applyBorder="1" applyAlignment="1" applyProtection="1">
      <alignment horizontal="center" vertical="center"/>
    </xf>
    <xf numFmtId="43" fontId="0" fillId="0" borderId="0" xfId="1" applyFont="1" applyAlignment="1" applyProtection="1">
      <alignment horizontal="center" vertical="center"/>
    </xf>
    <xf numFmtId="1" fontId="8" fillId="6" borderId="0" xfId="0" applyNumberFormat="1" applyFont="1" applyFill="1" applyAlignment="1">
      <alignment horizontal="center" vertical="center"/>
    </xf>
    <xf numFmtId="1" fontId="8" fillId="6" borderId="0" xfId="0" applyNumberFormat="1" applyFont="1" applyFill="1" applyAlignment="1">
      <alignment vertical="center"/>
    </xf>
    <xf numFmtId="43" fontId="15" fillId="0" borderId="1" xfId="1" applyFont="1" applyBorder="1" applyAlignment="1" applyProtection="1">
      <alignment horizontal="left" vertical="center"/>
    </xf>
    <xf numFmtId="43" fontId="15" fillId="0" borderId="1" xfId="1" applyFont="1" applyBorder="1" applyProtection="1"/>
    <xf numFmtId="1" fontId="8" fillId="5" borderId="0" xfId="0" applyNumberFormat="1" applyFont="1" applyFill="1" applyAlignment="1">
      <alignment horizontal="center" vertical="center"/>
    </xf>
    <xf numFmtId="43" fontId="15" fillId="0" borderId="3" xfId="1" applyFont="1" applyFill="1" applyBorder="1" applyAlignment="1" applyProtection="1">
      <alignment horizontal="left" vertical="center"/>
    </xf>
    <xf numFmtId="43" fontId="15" fillId="0" borderId="1" xfId="1" applyFont="1" applyFill="1" applyBorder="1" applyAlignment="1" applyProtection="1">
      <alignment horizontal="left" vertical="center"/>
    </xf>
    <xf numFmtId="0" fontId="15" fillId="0" borderId="1" xfId="2" applyFont="1" applyBorder="1" applyAlignment="1">
      <alignment horizontal="center"/>
    </xf>
    <xf numFmtId="1" fontId="15" fillId="0" borderId="3" xfId="2" applyNumberFormat="1" applyFont="1" applyBorder="1" applyAlignment="1">
      <alignment horizontal="center" vertical="center"/>
    </xf>
    <xf numFmtId="164" fontId="15" fillId="7" borderId="3" xfId="1" applyNumberFormat="1" applyFont="1" applyFill="1" applyBorder="1" applyAlignment="1" applyProtection="1">
      <alignment vertical="center"/>
    </xf>
    <xf numFmtId="44" fontId="15" fillId="7" borderId="3" xfId="4" applyFont="1" applyFill="1" applyBorder="1" applyAlignment="1" applyProtection="1">
      <alignment horizontal="center" vertical="center"/>
    </xf>
    <xf numFmtId="0" fontId="15" fillId="4" borderId="9" xfId="0" applyFont="1" applyFill="1" applyBorder="1" applyAlignment="1">
      <alignment vertical="center"/>
    </xf>
    <xf numFmtId="2" fontId="15" fillId="4" borderId="9" xfId="0" applyNumberFormat="1" applyFont="1" applyFill="1" applyBorder="1" applyAlignment="1">
      <alignment horizontal="left" vertical="center"/>
    </xf>
    <xf numFmtId="0" fontId="15" fillId="4" borderId="9" xfId="2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 vertical="center" wrapText="1"/>
    </xf>
    <xf numFmtId="43" fontId="16" fillId="4" borderId="9" xfId="1" applyFont="1" applyFill="1" applyBorder="1" applyAlignment="1" applyProtection="1">
      <alignment horizontal="left" vertical="center" wrapText="1"/>
    </xf>
    <xf numFmtId="43" fontId="16" fillId="4" borderId="9" xfId="1" applyFont="1" applyFill="1" applyBorder="1" applyAlignment="1" applyProtection="1">
      <alignment horizontal="center" vertical="center" wrapText="1"/>
    </xf>
    <xf numFmtId="43" fontId="16" fillId="4" borderId="7" xfId="1" applyFont="1" applyFill="1" applyBorder="1" applyAlignment="1" applyProtection="1">
      <alignment horizontal="center" vertical="center" wrapText="1"/>
    </xf>
    <xf numFmtId="43" fontId="15" fillId="0" borderId="2" xfId="1" applyFont="1" applyFill="1" applyBorder="1" applyAlignment="1" applyProtection="1">
      <alignment horizontal="left" vertical="center"/>
    </xf>
    <xf numFmtId="0" fontId="15" fillId="0" borderId="2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/>
    </xf>
    <xf numFmtId="0" fontId="14" fillId="4" borderId="9" xfId="0" applyFont="1" applyFill="1" applyBorder="1" applyAlignment="1">
      <alignment vertical="center"/>
    </xf>
    <xf numFmtId="2" fontId="14" fillId="4" borderId="9" xfId="0" applyNumberFormat="1" applyFont="1" applyFill="1" applyBorder="1" applyAlignment="1">
      <alignment horizontal="left" vertical="center"/>
    </xf>
    <xf numFmtId="0" fontId="14" fillId="4" borderId="9" xfId="2" applyFont="1" applyFill="1" applyBorder="1" applyAlignment="1">
      <alignment horizontal="center"/>
    </xf>
    <xf numFmtId="1" fontId="14" fillId="4" borderId="9" xfId="0" applyNumberFormat="1" applyFont="1" applyFill="1" applyBorder="1" applyAlignment="1">
      <alignment horizontal="center" vertical="center"/>
    </xf>
    <xf numFmtId="43" fontId="14" fillId="4" borderId="9" xfId="1" applyFont="1" applyFill="1" applyBorder="1" applyAlignment="1" applyProtection="1">
      <alignment horizontal="left" vertical="center"/>
    </xf>
    <xf numFmtId="1" fontId="14" fillId="4" borderId="7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21" fillId="5" borderId="0" xfId="0" applyNumberFormat="1" applyFont="1" applyFill="1" applyAlignment="1">
      <alignment horizontal="left" vertical="center"/>
    </xf>
    <xf numFmtId="1" fontId="15" fillId="4" borderId="9" xfId="2" applyNumberFormat="1" applyFont="1" applyFill="1" applyBorder="1" applyAlignment="1">
      <alignment horizontal="center"/>
    </xf>
    <xf numFmtId="1" fontId="14" fillId="4" borderId="9" xfId="2" applyNumberFormat="1" applyFont="1" applyFill="1" applyBorder="1" applyAlignment="1">
      <alignment horizontal="center"/>
    </xf>
    <xf numFmtId="3" fontId="15" fillId="2" borderId="3" xfId="1" applyNumberFormat="1" applyFont="1" applyFill="1" applyBorder="1" applyAlignment="1" applyProtection="1">
      <alignment horizontal="center" vertical="center"/>
      <protection locked="0"/>
    </xf>
    <xf numFmtId="43" fontId="17" fillId="0" borderId="3" xfId="1" applyFont="1" applyBorder="1" applyProtection="1"/>
    <xf numFmtId="43" fontId="0" fillId="0" borderId="0" xfId="1" applyFont="1" applyBorder="1" applyAlignment="1" applyProtection="1">
      <alignment horizontal="center" vertical="center" wrapText="1"/>
    </xf>
    <xf numFmtId="0" fontId="21" fillId="5" borderId="8" xfId="0" applyFont="1" applyFill="1" applyBorder="1" applyAlignment="1">
      <alignment vertical="center" wrapText="1"/>
    </xf>
    <xf numFmtId="0" fontId="21" fillId="6" borderId="8" xfId="0" applyFont="1" applyFill="1" applyBorder="1" applyAlignment="1">
      <alignment vertical="center" wrapText="1"/>
    </xf>
    <xf numFmtId="0" fontId="21" fillId="6" borderId="8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right" vertical="center"/>
    </xf>
    <xf numFmtId="0" fontId="18" fillId="7" borderId="5" xfId="0" applyFont="1" applyFill="1" applyBorder="1" applyAlignment="1">
      <alignment horizontal="center" vertical="center" wrapText="1"/>
    </xf>
    <xf numFmtId="164" fontId="13" fillId="0" borderId="10" xfId="1" applyNumberFormat="1" applyFont="1" applyBorder="1" applyAlignment="1">
      <alignment horizontal="center" wrapText="1"/>
    </xf>
    <xf numFmtId="3" fontId="15" fillId="2" borderId="3" xfId="0" applyNumberFormat="1" applyFont="1" applyFill="1" applyBorder="1" applyAlignment="1" applyProtection="1">
      <alignment horizontal="center" vertical="center"/>
      <protection locked="0"/>
    </xf>
    <xf numFmtId="3" fontId="15" fillId="2" borderId="1" xfId="0" applyNumberFormat="1" applyFont="1" applyFill="1" applyBorder="1" applyAlignment="1" applyProtection="1">
      <alignment horizontal="center" vertical="center"/>
      <protection locked="0"/>
    </xf>
    <xf numFmtId="3" fontId="15" fillId="2" borderId="2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 wrapText="1"/>
    </xf>
    <xf numFmtId="0" fontId="0" fillId="3" borderId="0" xfId="0" applyFill="1"/>
    <xf numFmtId="0" fontId="6" fillId="3" borderId="0" xfId="0" applyFont="1" applyFill="1" applyAlignment="1">
      <alignment vertical="center"/>
    </xf>
    <xf numFmtId="3" fontId="22" fillId="3" borderId="0" xfId="0" applyNumberFormat="1" applyFont="1" applyFill="1" applyAlignment="1">
      <alignment horizontal="left" vertical="center"/>
    </xf>
    <xf numFmtId="0" fontId="21" fillId="3" borderId="0" xfId="0" applyFont="1" applyFill="1" applyAlignment="1">
      <alignment vertical="center" wrapText="1"/>
    </xf>
    <xf numFmtId="0" fontId="23" fillId="3" borderId="0" xfId="0" applyFont="1" applyFill="1" applyAlignment="1">
      <alignment horizontal="right" vertical="center"/>
    </xf>
    <xf numFmtId="0" fontId="23" fillId="3" borderId="8" xfId="0" applyFont="1" applyFill="1" applyBorder="1" applyAlignment="1">
      <alignment horizontal="right" vertical="center"/>
    </xf>
    <xf numFmtId="3" fontId="8" fillId="3" borderId="0" xfId="0" applyNumberFormat="1" applyFont="1" applyFill="1" applyAlignment="1">
      <alignment horizontal="center" vertical="center"/>
    </xf>
    <xf numFmtId="3" fontId="17" fillId="2" borderId="1" xfId="0" applyNumberFormat="1" applyFont="1" applyFill="1" applyBorder="1" applyAlignment="1" applyProtection="1">
      <alignment horizontal="center" vertical="center"/>
      <protection locked="0"/>
    </xf>
    <xf numFmtId="3" fontId="17" fillId="2" borderId="3" xfId="0" applyNumberFormat="1" applyFont="1" applyFill="1" applyBorder="1" applyAlignment="1" applyProtection="1">
      <alignment horizontal="center" vertical="center"/>
      <protection locked="0"/>
    </xf>
    <xf numFmtId="2" fontId="11" fillId="0" borderId="0" xfId="0" applyNumberFormat="1" applyFont="1"/>
    <xf numFmtId="8" fontId="15" fillId="0" borderId="1" xfId="4" applyNumberFormat="1" applyFont="1" applyBorder="1" applyAlignment="1" applyProtection="1">
      <alignment horizontal="left" vertical="center"/>
    </xf>
    <xf numFmtId="0" fontId="18" fillId="7" borderId="4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/>
    </xf>
    <xf numFmtId="3" fontId="21" fillId="5" borderId="8" xfId="0" applyNumberFormat="1" applyFont="1" applyFill="1" applyBorder="1" applyAlignment="1">
      <alignment horizontal="left" vertical="center" wrapText="1"/>
    </xf>
    <xf numFmtId="2" fontId="15" fillId="0" borderId="1" xfId="1" applyNumberFormat="1" applyFont="1" applyBorder="1" applyAlignment="1" applyProtection="1">
      <alignment horizontal="left" vertical="center"/>
    </xf>
    <xf numFmtId="164" fontId="15" fillId="0" borderId="3" xfId="1" applyNumberFormat="1" applyFont="1" applyFill="1" applyBorder="1" applyAlignment="1" applyProtection="1">
      <alignment horizontal="center" vertical="center"/>
    </xf>
    <xf numFmtId="164" fontId="15" fillId="0" borderId="1" xfId="1" applyNumberFormat="1" applyFont="1" applyFill="1" applyBorder="1" applyAlignment="1" applyProtection="1">
      <alignment horizontal="center" vertical="center"/>
    </xf>
    <xf numFmtId="164" fontId="15" fillId="0" borderId="3" xfId="1" applyNumberFormat="1" applyFont="1" applyFill="1" applyBorder="1" applyAlignment="1" applyProtection="1">
      <alignment horizontal="center"/>
    </xf>
    <xf numFmtId="164" fontId="15" fillId="0" borderId="1" xfId="1" applyNumberFormat="1" applyFont="1" applyFill="1" applyBorder="1" applyAlignment="1" applyProtection="1">
      <alignment horizontal="center"/>
    </xf>
    <xf numFmtId="1" fontId="14" fillId="4" borderId="9" xfId="2" applyNumberFormat="1" applyFont="1" applyFill="1" applyBorder="1" applyAlignment="1">
      <alignment horizontal="center" vertical="center"/>
    </xf>
    <xf numFmtId="1" fontId="15" fillId="0" borderId="3" xfId="1" applyNumberFormat="1" applyFont="1" applyFill="1" applyBorder="1" applyAlignment="1" applyProtection="1">
      <alignment horizontal="center" vertical="center"/>
    </xf>
    <xf numFmtId="1" fontId="15" fillId="0" borderId="1" xfId="1" applyNumberFormat="1" applyFont="1" applyFill="1" applyBorder="1" applyAlignment="1" applyProtection="1">
      <alignment horizontal="center" vertical="center"/>
    </xf>
    <xf numFmtId="1" fontId="15" fillId="0" borderId="1" xfId="1" applyNumberFormat="1" applyFont="1" applyBorder="1" applyAlignment="1" applyProtection="1">
      <alignment horizontal="center" vertical="center"/>
    </xf>
    <xf numFmtId="1" fontId="15" fillId="7" borderId="1" xfId="1" applyNumberFormat="1" applyFont="1" applyFill="1" applyBorder="1" applyAlignment="1" applyProtection="1">
      <alignment horizontal="center" vertical="center"/>
    </xf>
    <xf numFmtId="4" fontId="15" fillId="0" borderId="1" xfId="1" applyNumberFormat="1" applyFont="1" applyBorder="1" applyProtection="1"/>
    <xf numFmtId="1" fontId="15" fillId="7" borderId="3" xfId="1" applyNumberFormat="1" applyFont="1" applyFill="1" applyBorder="1" applyAlignment="1" applyProtection="1">
      <alignment horizontal="center" vertical="center"/>
    </xf>
    <xf numFmtId="1" fontId="14" fillId="4" borderId="9" xfId="1" applyNumberFormat="1" applyFont="1" applyFill="1" applyBorder="1" applyAlignment="1" applyProtection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4" fontId="13" fillId="0" borderId="11" xfId="4" applyFont="1" applyBorder="1" applyAlignment="1">
      <alignment horizontal="center" wrapText="1"/>
    </xf>
    <xf numFmtId="4" fontId="24" fillId="8" borderId="13" xfId="1" applyNumberFormat="1" applyFont="1" applyFill="1" applyBorder="1" applyAlignment="1">
      <alignment horizontal="center" wrapText="1"/>
    </xf>
    <xf numFmtId="0" fontId="25" fillId="7" borderId="12" xfId="0" applyFont="1" applyFill="1" applyBorder="1" applyAlignment="1">
      <alignment horizontal="center" vertical="center" wrapText="1"/>
    </xf>
    <xf numFmtId="164" fontId="0" fillId="0" borderId="0" xfId="1" applyNumberFormat="1" applyFont="1" applyBorder="1" applyAlignment="1" applyProtection="1">
      <alignment horizontal="center" vertical="center" wrapText="1"/>
    </xf>
    <xf numFmtId="164" fontId="13" fillId="0" borderId="10" xfId="1" applyNumberFormat="1" applyFont="1" applyBorder="1" applyAlignment="1" applyProtection="1">
      <alignment horizontal="center" wrapText="1"/>
    </xf>
    <xf numFmtId="44" fontId="13" fillId="0" borderId="11" xfId="4" applyFont="1" applyBorder="1" applyAlignment="1" applyProtection="1">
      <alignment horizontal="center" wrapText="1"/>
    </xf>
    <xf numFmtId="4" fontId="24" fillId="8" borderId="13" xfId="1" applyNumberFormat="1" applyFont="1" applyFill="1" applyBorder="1" applyAlignment="1" applyProtection="1">
      <alignment horizont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2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3" fontId="26" fillId="0" borderId="1" xfId="0" applyNumberFormat="1" applyFont="1" applyBorder="1" applyAlignment="1">
      <alignment horizontal="center" vertical="center"/>
    </xf>
    <xf numFmtId="164" fontId="26" fillId="7" borderId="1" xfId="0" applyNumberFormat="1" applyFont="1" applyFill="1" applyBorder="1" applyAlignment="1">
      <alignment horizontal="center" vertical="center"/>
    </xf>
    <xf numFmtId="44" fontId="27" fillId="7" borderId="1" xfId="0" applyNumberFormat="1" applyFont="1" applyFill="1" applyBorder="1"/>
    <xf numFmtId="43" fontId="27" fillId="0" borderId="1" xfId="0" applyNumberFormat="1" applyFont="1" applyBorder="1"/>
    <xf numFmtId="0" fontId="27" fillId="0" borderId="1" xfId="0" applyFont="1" applyBorder="1"/>
    <xf numFmtId="44" fontId="26" fillId="7" borderId="1" xfId="0" applyNumberFormat="1" applyFont="1" applyFill="1" applyBorder="1"/>
    <xf numFmtId="43" fontId="26" fillId="0" borderId="1" xfId="0" applyNumberFormat="1" applyFont="1" applyBorder="1"/>
    <xf numFmtId="3" fontId="26" fillId="0" borderId="3" xfId="0" applyNumberFormat="1" applyFont="1" applyBorder="1" applyAlignment="1">
      <alignment horizontal="center"/>
    </xf>
    <xf numFmtId="164" fontId="26" fillId="7" borderId="3" xfId="0" applyNumberFormat="1" applyFont="1" applyFill="1" applyBorder="1" applyAlignment="1">
      <alignment horizontal="center"/>
    </xf>
    <xf numFmtId="44" fontId="26" fillId="7" borderId="3" xfId="0" applyNumberFormat="1" applyFont="1" applyFill="1" applyBorder="1"/>
    <xf numFmtId="43" fontId="26" fillId="0" borderId="3" xfId="0" applyNumberFormat="1" applyFont="1" applyBorder="1"/>
    <xf numFmtId="1" fontId="26" fillId="7" borderId="1" xfId="0" applyNumberFormat="1" applyFont="1" applyFill="1" applyBorder="1" applyAlignment="1">
      <alignment horizontal="center" vertical="center"/>
    </xf>
    <xf numFmtId="1" fontId="26" fillId="0" borderId="0" xfId="0" applyNumberFormat="1" applyFont="1" applyAlignment="1">
      <alignment horizontal="right" vertical="center"/>
    </xf>
    <xf numFmtId="1" fontId="26" fillId="0" borderId="0" xfId="0" applyNumberFormat="1" applyFont="1" applyAlignment="1">
      <alignment horizontal="center"/>
    </xf>
    <xf numFmtId="1" fontId="26" fillId="7" borderId="3" xfId="0" applyNumberFormat="1" applyFont="1" applyFill="1" applyBorder="1" applyAlignment="1">
      <alignment horizontal="center"/>
    </xf>
    <xf numFmtId="4" fontId="26" fillId="0" borderId="3" xfId="0" applyNumberFormat="1" applyFont="1" applyBorder="1"/>
    <xf numFmtId="1" fontId="26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1" fontId="26" fillId="0" borderId="1" xfId="0" applyNumberFormat="1" applyFont="1" applyBorder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164" fontId="26" fillId="7" borderId="0" xfId="0" applyNumberFormat="1" applyFont="1" applyFill="1" applyAlignment="1">
      <alignment horizontal="center" vertical="center"/>
    </xf>
    <xf numFmtId="44" fontId="27" fillId="7" borderId="0" xfId="0" applyNumberFormat="1" applyFont="1" applyFill="1"/>
    <xf numFmtId="43" fontId="27" fillId="0" borderId="0" xfId="0" applyNumberFormat="1" applyFont="1"/>
    <xf numFmtId="0" fontId="27" fillId="0" borderId="0" xfId="0" applyFont="1"/>
    <xf numFmtId="43" fontId="26" fillId="0" borderId="0" xfId="0" applyNumberFormat="1" applyFont="1"/>
    <xf numFmtId="1" fontId="26" fillId="7" borderId="0" xfId="0" applyNumberFormat="1" applyFont="1" applyFill="1" applyAlignment="1">
      <alignment horizontal="center" vertical="center"/>
    </xf>
    <xf numFmtId="44" fontId="26" fillId="7" borderId="0" xfId="0" applyNumberFormat="1" applyFont="1" applyFill="1"/>
    <xf numFmtId="0" fontId="30" fillId="0" borderId="1" xfId="0" applyFont="1" applyBorder="1" applyAlignment="1">
      <alignment horizontal="center" vertical="center"/>
    </xf>
    <xf numFmtId="0" fontId="11" fillId="3" borderId="0" xfId="0" applyFont="1" applyFill="1"/>
    <xf numFmtId="8" fontId="15" fillId="0" borderId="1" xfId="4" applyNumberFormat="1" applyFont="1" applyFill="1" applyBorder="1" applyAlignment="1" applyProtection="1">
      <alignment horizontal="left" vertical="center"/>
    </xf>
    <xf numFmtId="0" fontId="12" fillId="5" borderId="3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vertical="center" wrapText="1"/>
    </xf>
    <xf numFmtId="165" fontId="16" fillId="4" borderId="9" xfId="1" applyNumberFormat="1" applyFont="1" applyFill="1" applyBorder="1" applyAlignment="1" applyProtection="1">
      <alignment horizontal="center" vertical="center" wrapText="1"/>
    </xf>
    <xf numFmtId="165" fontId="15" fillId="0" borderId="1" xfId="4" applyNumberFormat="1" applyFont="1" applyFill="1" applyBorder="1" applyAlignment="1" applyProtection="1">
      <alignment horizontal="left" vertical="center"/>
    </xf>
    <xf numFmtId="3" fontId="17" fillId="2" borderId="1" xfId="1" applyNumberFormat="1" applyFont="1" applyFill="1" applyBorder="1" applyAlignment="1" applyProtection="1">
      <alignment horizontal="center" vertical="center"/>
      <protection locked="0"/>
    </xf>
    <xf numFmtId="44" fontId="15" fillId="7" borderId="1" xfId="4" applyFont="1" applyFill="1" applyBorder="1" applyAlignment="1" applyProtection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0" fontId="0" fillId="9" borderId="4" xfId="0" applyFill="1" applyBorder="1" applyAlignment="1">
      <alignment horizontal="center" vertical="center" wrapText="1"/>
    </xf>
    <xf numFmtId="0" fontId="28" fillId="9" borderId="14" xfId="0" applyFont="1" applyFill="1" applyBorder="1" applyAlignment="1">
      <alignment horizontal="left" vertical="center"/>
    </xf>
    <xf numFmtId="0" fontId="0" fillId="9" borderId="1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29" fillId="9" borderId="0" xfId="0" applyFont="1" applyFill="1" applyAlignment="1">
      <alignment horizontal="right"/>
    </xf>
    <xf numFmtId="0" fontId="0" fillId="9" borderId="18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29" fillId="9" borderId="18" xfId="0" applyFont="1" applyFill="1" applyBorder="1" applyAlignment="1">
      <alignment horizontal="right"/>
    </xf>
    <xf numFmtId="0" fontId="2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9" borderId="18" xfId="0" applyFill="1" applyBorder="1" applyAlignment="1" applyProtection="1">
      <alignment horizontal="center" vertical="center" wrapText="1"/>
      <protection locked="0"/>
    </xf>
    <xf numFmtId="0" fontId="0" fillId="9" borderId="20" xfId="0" applyFill="1" applyBorder="1" applyAlignment="1" applyProtection="1">
      <alignment horizontal="center" vertical="center" wrapText="1"/>
      <protection locked="0"/>
    </xf>
    <xf numFmtId="0" fontId="0" fillId="9" borderId="19" xfId="0" applyFill="1" applyBorder="1" applyAlignment="1" applyProtection="1">
      <alignment horizontal="center" vertical="center" wrapText="1"/>
      <protection locked="0"/>
    </xf>
    <xf numFmtId="3" fontId="26" fillId="0" borderId="0" xfId="0" applyNumberFormat="1" applyFont="1" applyAlignment="1">
      <alignment horizontal="center"/>
    </xf>
    <xf numFmtId="164" fontId="26" fillId="7" borderId="0" xfId="0" applyNumberFormat="1" applyFont="1" applyFill="1" applyAlignment="1">
      <alignment horizontal="center"/>
    </xf>
    <xf numFmtId="0" fontId="26" fillId="10" borderId="0" xfId="0" applyFont="1" applyFill="1" applyAlignment="1">
      <alignment vertical="center"/>
    </xf>
    <xf numFmtId="2" fontId="26" fillId="10" borderId="0" xfId="0" applyNumberFormat="1" applyFont="1" applyFill="1" applyAlignment="1">
      <alignment horizontal="left" vertical="center"/>
    </xf>
    <xf numFmtId="0" fontId="26" fillId="10" borderId="0" xfId="0" applyFont="1" applyFill="1" applyAlignment="1">
      <alignment horizontal="right" vertical="center"/>
    </xf>
    <xf numFmtId="3" fontId="26" fillId="10" borderId="0" xfId="0" applyNumberFormat="1" applyFont="1" applyFill="1" applyAlignment="1">
      <alignment horizontal="center"/>
    </xf>
    <xf numFmtId="164" fontId="26" fillId="10" borderId="0" xfId="0" applyNumberFormat="1" applyFont="1" applyFill="1" applyAlignment="1">
      <alignment horizontal="center"/>
    </xf>
    <xf numFmtId="44" fontId="26" fillId="10" borderId="0" xfId="0" applyNumberFormat="1" applyFont="1" applyFill="1"/>
    <xf numFmtId="43" fontId="26" fillId="10" borderId="0" xfId="0" applyNumberFormat="1" applyFont="1" applyFill="1"/>
    <xf numFmtId="0" fontId="12" fillId="10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horizontal="center" vertical="center" wrapText="1"/>
    </xf>
    <xf numFmtId="1" fontId="26" fillId="7" borderId="0" xfId="0" applyNumberFormat="1" applyFont="1" applyFill="1" applyAlignment="1">
      <alignment horizontal="center"/>
    </xf>
    <xf numFmtId="4" fontId="26" fillId="0" borderId="0" xfId="0" applyNumberFormat="1" applyFont="1"/>
    <xf numFmtId="3" fontId="15" fillId="0" borderId="1" xfId="0" applyNumberFormat="1" applyFont="1" applyBorder="1" applyAlignment="1">
      <alignment horizontal="center" vertical="center"/>
    </xf>
    <xf numFmtId="0" fontId="0" fillId="10" borderId="0" xfId="0" applyFill="1"/>
    <xf numFmtId="0" fontId="23" fillId="10" borderId="0" xfId="0" applyFont="1" applyFill="1" applyAlignment="1">
      <alignment horizontal="right" vertical="center"/>
    </xf>
    <xf numFmtId="3" fontId="8" fillId="10" borderId="0" xfId="0" applyNumberFormat="1" applyFont="1" applyFill="1" applyAlignment="1">
      <alignment horizontal="center" vertical="center"/>
    </xf>
    <xf numFmtId="3" fontId="22" fillId="10" borderId="0" xfId="0" applyNumberFormat="1" applyFont="1" applyFill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1" fontId="15" fillId="0" borderId="1" xfId="0" applyNumberFormat="1" applyFont="1" applyBorder="1" applyAlignment="1">
      <alignment horizontal="center" vertical="center"/>
    </xf>
    <xf numFmtId="166" fontId="15" fillId="0" borderId="3" xfId="4" applyNumberFormat="1" applyFont="1" applyFill="1" applyBorder="1" applyAlignment="1" applyProtection="1">
      <alignment horizontal="left" vertical="center"/>
    </xf>
    <xf numFmtId="3" fontId="14" fillId="0" borderId="3" xfId="1" applyNumberFormat="1" applyFont="1" applyFill="1" applyBorder="1" applyAlignment="1" applyProtection="1">
      <alignment horizontal="center" vertical="center"/>
    </xf>
    <xf numFmtId="3" fontId="14" fillId="4" borderId="9" xfId="1" applyNumberFormat="1" applyFont="1" applyFill="1" applyBorder="1" applyAlignment="1" applyProtection="1">
      <alignment horizontal="center" vertical="center"/>
    </xf>
    <xf numFmtId="3" fontId="14" fillId="4" borderId="3" xfId="1" applyNumberFormat="1" applyFont="1" applyFill="1" applyBorder="1" applyAlignment="1" applyProtection="1">
      <alignment horizontal="center" vertical="center"/>
    </xf>
    <xf numFmtId="3" fontId="14" fillId="0" borderId="1" xfId="1" applyNumberFormat="1" applyFont="1" applyFill="1" applyBorder="1" applyAlignment="1" applyProtection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15" fillId="0" borderId="3" xfId="0" applyFont="1" applyBorder="1" applyAlignment="1">
      <alignment vertical="center"/>
    </xf>
    <xf numFmtId="1" fontId="15" fillId="0" borderId="1" xfId="2" applyNumberFormat="1" applyFont="1" applyBorder="1" applyAlignment="1">
      <alignment horizontal="center" vertical="center"/>
    </xf>
    <xf numFmtId="3" fontId="26" fillId="7" borderId="1" xfId="0" applyNumberFormat="1" applyFont="1" applyFill="1" applyBorder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3" fontId="22" fillId="3" borderId="0" xfId="0" applyNumberFormat="1" applyFont="1" applyFill="1" applyAlignment="1">
      <alignment horizontal="center" vertical="center"/>
    </xf>
    <xf numFmtId="1" fontId="21" fillId="5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6" fillId="10" borderId="0" xfId="0" applyFont="1" applyFill="1" applyAlignment="1">
      <alignment vertical="center"/>
    </xf>
    <xf numFmtId="4" fontId="26" fillId="10" borderId="0" xfId="0" applyNumberFormat="1" applyFont="1" applyFill="1"/>
    <xf numFmtId="4" fontId="34" fillId="10" borderId="0" xfId="0" applyNumberFormat="1" applyFont="1" applyFill="1" applyAlignment="1">
      <alignment horizontal="center"/>
    </xf>
    <xf numFmtId="1" fontId="15" fillId="0" borderId="3" xfId="0" applyNumberFormat="1" applyFont="1" applyBorder="1" applyAlignment="1">
      <alignment horizontal="center" vertical="center"/>
    </xf>
    <xf numFmtId="3" fontId="34" fillId="0" borderId="3" xfId="0" applyNumberFormat="1" applyFont="1" applyBorder="1" applyAlignment="1">
      <alignment horizontal="center"/>
    </xf>
    <xf numFmtId="0" fontId="35" fillId="9" borderId="18" xfId="0" applyFont="1" applyFill="1" applyBorder="1" applyAlignment="1" applyProtection="1">
      <alignment horizontal="center" vertical="center" wrapText="1"/>
      <protection locked="0"/>
    </xf>
    <xf numFmtId="0" fontId="35" fillId="9" borderId="20" xfId="0" applyFont="1" applyFill="1" applyBorder="1" applyAlignment="1" applyProtection="1">
      <alignment horizontal="center" vertical="center" wrapText="1"/>
      <protection locked="0"/>
    </xf>
    <xf numFmtId="0" fontId="35" fillId="9" borderId="19" xfId="0" applyFont="1" applyFill="1" applyBorder="1" applyAlignment="1" applyProtection="1">
      <alignment horizontal="center" vertical="center" wrapText="1"/>
      <protection locked="0"/>
    </xf>
    <xf numFmtId="0" fontId="6" fillId="6" borderId="8" xfId="0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0" fontId="20" fillId="7" borderId="0" xfId="0" applyFont="1" applyFill="1" applyAlignment="1">
      <alignment horizontal="center" wrapText="1"/>
    </xf>
  </cellXfs>
  <cellStyles count="5">
    <cellStyle name="Comma" xfId="1" builtinId="3"/>
    <cellStyle name="Currency" xfId="4" builtinId="4"/>
    <cellStyle name="Normal" xfId="0" builtinId="0"/>
    <cellStyle name="Normal 2" xfId="3"/>
    <cellStyle name="Normal_Alternate Order Forms 15-16" xfId="2"/>
  </cellStyles>
  <dxfs count="454">
    <dxf>
      <numFmt numFmtId="164" formatCode="_(* #,##0_);_(* \(#,##0\);_(* &quot;-&quot;??_);_(@_)"/>
      <alignment horizontal="center" vertical="center" textRotation="0" wrapText="1" indent="0" justifyLastLine="0" shrinkToFit="0" readingOrder="0"/>
      <protection locked="1" hidden="0"/>
    </dxf>
    <dxf>
      <numFmt numFmtId="164" formatCode="_(* #,##0_);_(* \(#,##0\);_(* &quot;-&quot;??_);_(@_)"/>
      <alignment horizontal="center" vertical="center" textRotation="0" wrapText="1" indent="0" justifyLastLine="0" shrinkToFit="0" readingOrder="0"/>
      <protection locked="1" hidden="0"/>
    </dxf>
    <dxf>
      <numFmt numFmtId="164" formatCode="_(* #,##0_);_(* \(#,##0\);_(* &quot;-&quot;??_);_(@_)"/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  <protection locked="1" hidden="0"/>
    </dxf>
    <dxf>
      <numFmt numFmtId="164" formatCode="_(* #,##0_);_(* \(#,##0\);_(* &quot;-&quot;??_);_(@_)"/>
      <alignment horizontal="center" vertical="center" textRotation="0" wrapText="1" indent="0" justifyLastLine="0" shrinkToFit="0" readingOrder="0"/>
      <protection locked="1" hidden="0"/>
    </dxf>
    <dxf>
      <numFmt numFmtId="164" formatCode="_(* #,##0_);_(* \(#,##0\);_(* &quot;-&quot;??_);_(@_)"/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  <protection locked="1" hidden="0"/>
    </dxf>
    <dxf>
      <numFmt numFmtId="35" formatCode="_(* #,##0.00_);_(* \(#,##0.00\);_(* &quot;-&quot;??_);_(@_)"/>
      <alignment horizontal="center" vertical="center" textRotation="0" wrapText="1" indent="0" justifyLastLine="0" shrinkToFit="0" readingOrder="0"/>
      <protection locked="1" hidden="0"/>
    </dxf>
    <dxf>
      <numFmt numFmtId="35" formatCode="_(* #,##0.00_);_(* \(#,##0.00\);_(* &quot;-&quot;??_);_(@_)"/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  <protection locked="1" hidden="0"/>
    </dxf>
    <dxf>
      <numFmt numFmtId="164" formatCode="_(* #,##0_);_(* \(#,##0\);_(* &quot;-&quot;??_);_(@_)"/>
      <alignment horizontal="center" vertical="center" textRotation="0" wrapText="1" indent="0" justifyLastLine="0" shrinkToFit="0" readingOrder="0"/>
      <protection locked="1" hidden="0"/>
    </dxf>
    <dxf>
      <numFmt numFmtId="164" formatCode="_(* #,##0_);_(* \(#,##0\);_(* &quot;-&quot;??_);_(@_)"/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  <protection locked="1" hidden="0"/>
    </dxf>
    <dxf>
      <numFmt numFmtId="164" formatCode="_(* #,##0_);_(* \(#,##0\);_(* &quot;-&quot;??_);_(@_)"/>
      <alignment horizontal="center" vertical="center" textRotation="0" wrapText="1" indent="0" justifyLastLine="0" shrinkToFit="0" readingOrder="0"/>
      <protection locked="1" hidden="0"/>
    </dxf>
    <dxf>
      <numFmt numFmtId="164" formatCode="_(* #,##0_);_(* \(#,##0\);_(* &quot;-&quot;??_);_(@_)"/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sz val="18"/>
      </font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none"/>
      </font>
      <numFmt numFmtId="4" formatCode="#,##0.0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/>
        <i val="0"/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protection locked="1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protection locked="1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EAAA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C66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6" formatCode="&quot;$&quot;#,##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protection locked="1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protection locked="1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EAAA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&quot;$&quot;#.##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C66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6" formatCode="&quot;$&quot;#,##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protection locked="1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F452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EAAA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5" formatCode="_(* #,##0.00_);_(* \(#,##0.0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&quot;$&quot;#.##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64" formatCode="_(* #,##0_);_(* \(#,##0\);_(* &quot;-&quot;??_);_(@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2" formatCode="0.0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numFmt numFmtId="165" formatCode="&quot;$&quot;#.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rgb="FFCC66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F4520"/>
      <color rgb="FFF39619"/>
      <color rgb="FFEAAA00"/>
      <color rgb="FFFF5B5B"/>
      <color rgb="FFCC6600"/>
      <color rgb="FFFF7C80"/>
      <color rgb="FFFF5050"/>
      <color rgb="FF623412"/>
      <color rgb="FFEA8F76"/>
      <color rgb="FFECB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136071</xdr:colOff>
      <xdr:row>0</xdr:row>
      <xdr:rowOff>110170</xdr:rowOff>
    </xdr:from>
    <xdr:to>
      <xdr:col>16</xdr:col>
      <xdr:colOff>13607</xdr:colOff>
      <xdr:row>10</xdr:row>
      <xdr:rowOff>258536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552214" y="110170"/>
          <a:ext cx="13756822" cy="2965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 u="sng"/>
            <a:t>INSTRUCTIONS</a:t>
          </a:r>
          <a:r>
            <a:rPr lang="en-US" sz="2400"/>
            <a:t>:</a:t>
          </a:r>
        </a:p>
        <a:p>
          <a:pPr lvl="0"/>
          <a:r>
            <a:rPr 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Enter total yearly menu servings required by product in blue column to calculate donated food pounds to be diverted.</a:t>
          </a:r>
        </a:p>
        <a:p>
          <a:pPr lvl="0"/>
          <a:endParaRPr lang="en-US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For all White and all Dark product option please </a:t>
          </a:r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all White servings first. </a:t>
          </a:r>
        </a:p>
        <a:p>
          <a:pPr lvl="0"/>
          <a:r>
            <a:rPr 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The number of all dark servings required to balance White/Dark usage will auto populate in all dark section. </a:t>
          </a:r>
        </a:p>
        <a:p>
          <a:pPr lvl="0"/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Select enough Dark servings to achieve zero balance.</a:t>
          </a:r>
        </a:p>
        <a:p>
          <a:pPr lvl="0"/>
          <a:endParaRPr lang="en-US" sz="18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White/Dark natural proportion products will independently calculate total White/Dark donated food pounds and total with all White/all Dark</a:t>
          </a:r>
          <a:r>
            <a:rPr lang="en-US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products ordered to calculate total donated food pounds required to divert to meet menu servings. </a:t>
          </a:r>
        </a:p>
        <a:p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endParaRPr lang="en-US" sz="1400"/>
        </a:p>
      </xdr:txBody>
    </xdr:sp>
    <xdr:clientData/>
  </xdr:twoCellAnchor>
  <xdr:twoCellAnchor editAs="absolute">
    <xdr:from>
      <xdr:col>2</xdr:col>
      <xdr:colOff>779321</xdr:colOff>
      <xdr:row>5</xdr:row>
      <xdr:rowOff>122464</xdr:rowOff>
    </xdr:from>
    <xdr:to>
      <xdr:col>3</xdr:col>
      <xdr:colOff>3728359</xdr:colOff>
      <xdr:row>9</xdr:row>
      <xdr:rowOff>122464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91642" y="1551214"/>
          <a:ext cx="3860717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 u="none"/>
            <a:t>Servings Calculator</a:t>
          </a:r>
        </a:p>
        <a:p>
          <a:pPr algn="ctr"/>
          <a:r>
            <a:rPr lang="en-US" sz="2400" b="1"/>
            <a:t>SY 2024 - 2025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3945736</xdr:colOff>
          <xdr:row>0</xdr:row>
          <xdr:rowOff>95248</xdr:rowOff>
        </xdr:from>
        <xdr:to>
          <xdr:col>5</xdr:col>
          <xdr:colOff>956367</xdr:colOff>
          <xdr:row>4</xdr:row>
          <xdr:rowOff>81642</xdr:rowOff>
        </xdr:to>
        <xdr:pic>
          <xdr:nvPicPr>
            <xdr:cNvPr id="8" name="Picture 7" descr="&quot;&quot;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Dashboard Tables (SERVINGS)'!$E$5:$F$6" spid="_x0000_s9777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 bwMode="auto">
            <a:xfrm>
              <a:off x="5469736" y="95248"/>
              <a:ext cx="3909452" cy="112939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3959679</xdr:colOff>
          <xdr:row>4</xdr:row>
          <xdr:rowOff>136071</xdr:rowOff>
        </xdr:from>
        <xdr:to>
          <xdr:col>5</xdr:col>
          <xdr:colOff>994683</xdr:colOff>
          <xdr:row>8</xdr:row>
          <xdr:rowOff>185057</xdr:rowOff>
        </xdr:to>
        <xdr:pic>
          <xdr:nvPicPr>
            <xdr:cNvPr id="10" name="Picture 9" descr="&quot;&quot;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Dashboard Tables (SERVINGS)'!$M$19:$M$20" spid="_x0000_s977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483679" y="1279071"/>
              <a:ext cx="3933825" cy="119198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</xdr:col>
      <xdr:colOff>857251</xdr:colOff>
      <xdr:row>0</xdr:row>
      <xdr:rowOff>27214</xdr:rowOff>
    </xdr:from>
    <xdr:to>
      <xdr:col>3</xdr:col>
      <xdr:colOff>3510643</xdr:colOff>
      <xdr:row>6</xdr:row>
      <xdr:rowOff>3952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572" y="27214"/>
          <a:ext cx="3565071" cy="1691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739733</xdr:colOff>
      <xdr:row>0</xdr:row>
      <xdr:rowOff>0</xdr:rowOff>
    </xdr:from>
    <xdr:to>
      <xdr:col>13</xdr:col>
      <xdr:colOff>1483178</xdr:colOff>
      <xdr:row>9</xdr:row>
      <xdr:rowOff>217715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0155876" y="0"/>
          <a:ext cx="11139302" cy="2789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 u="sng"/>
            <a:t>INSTRUCTIONS</a:t>
          </a:r>
          <a:r>
            <a:rPr lang="en-US" sz="2400"/>
            <a:t>:</a:t>
          </a:r>
        </a:p>
        <a:p>
          <a:pPr lvl="0"/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Enter total cases required to meet yearly menu requirements by item in the blue column. The calculator will provide total servings and donated food pounds by item. </a:t>
          </a:r>
        </a:p>
        <a:p>
          <a:pPr lvl="0"/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For all White and all Dark product option enter required 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White cases first. 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number of all dark cases required to balance all White/all Dark usage will auto populate in all dark section. RA can choose any product combinations to achieve </a:t>
          </a:r>
          <a:r>
            <a:rPr 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case balance</a:t>
          </a:r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lvl="0"/>
          <a:endParaRPr lang="en-US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The White/Dark natural proportion cases will independently calculate total White/Dark pounds and total with all White/all Dark products ordered to calculate total donated food pounds required to meet total menu servings. </a:t>
          </a:r>
        </a:p>
        <a:p>
          <a:pPr algn="l"/>
          <a:endParaRPr lang="en-US" sz="1400"/>
        </a:p>
      </xdr:txBody>
    </xdr:sp>
    <xdr:clientData/>
  </xdr:twoCellAnchor>
  <xdr:twoCellAnchor editAs="absolute">
    <xdr:from>
      <xdr:col>2</xdr:col>
      <xdr:colOff>779321</xdr:colOff>
      <xdr:row>5</xdr:row>
      <xdr:rowOff>123464</xdr:rowOff>
    </xdr:from>
    <xdr:to>
      <xdr:col>3</xdr:col>
      <xdr:colOff>3728359</xdr:colOff>
      <xdr:row>9</xdr:row>
      <xdr:rowOff>27214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391642" y="1552214"/>
          <a:ext cx="3860717" cy="104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/>
            <a:t>Cases Calculator</a:t>
          </a:r>
        </a:p>
        <a:p>
          <a:pPr algn="ctr"/>
          <a:r>
            <a:rPr lang="en-US" sz="2400" b="1"/>
            <a:t>SY 2024 - 2054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4152770</xdr:colOff>
          <xdr:row>0</xdr:row>
          <xdr:rowOff>242453</xdr:rowOff>
        </xdr:from>
        <xdr:to>
          <xdr:col>5</xdr:col>
          <xdr:colOff>1167581</xdr:colOff>
          <xdr:row>4</xdr:row>
          <xdr:rowOff>241867</xdr:rowOff>
        </xdr:to>
        <xdr:pic>
          <xdr:nvPicPr>
            <xdr:cNvPr id="12" name="Picture 11" descr="&quot;&quot;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Dashboard Tables (DF POUNDS)'!$E$5:$F$6" spid="_x0000_s7160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 bwMode="auto">
            <a:xfrm>
              <a:off x="5676770" y="242453"/>
              <a:ext cx="3913632" cy="114241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4143233</xdr:colOff>
          <xdr:row>5</xdr:row>
          <xdr:rowOff>28448</xdr:rowOff>
        </xdr:from>
        <xdr:to>
          <xdr:col>5</xdr:col>
          <xdr:colOff>1168712</xdr:colOff>
          <xdr:row>9</xdr:row>
          <xdr:rowOff>57023</xdr:rowOff>
        </xdr:to>
        <xdr:pic>
          <xdr:nvPicPr>
            <xdr:cNvPr id="9" name="Picture 8" descr="&quot;&quot;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Dashboard Tables (DF POUNDS)'!$N$23:$N$24" spid="_x0000_s716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667233" y="1457198"/>
              <a:ext cx="3924300" cy="11715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</xdr:col>
      <xdr:colOff>885826</xdr:colOff>
      <xdr:row>0</xdr:row>
      <xdr:rowOff>0</xdr:rowOff>
    </xdr:from>
    <xdr:to>
      <xdr:col>3</xdr:col>
      <xdr:colOff>3524251</xdr:colOff>
      <xdr:row>6</xdr:row>
      <xdr:rowOff>7529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6" y="0"/>
          <a:ext cx="3543300" cy="17220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4504765</xdr:colOff>
      <xdr:row>0</xdr:row>
      <xdr:rowOff>110170</xdr:rowOff>
    </xdr:from>
    <xdr:to>
      <xdr:col>16</xdr:col>
      <xdr:colOff>13607</xdr:colOff>
      <xdr:row>8</xdr:row>
      <xdr:rowOff>156882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DF593A-2F0B-45FB-A27C-F5D483D9B3DF}"/>
            </a:ext>
          </a:extLst>
        </xdr:cNvPr>
        <xdr:cNvSpPr txBox="1"/>
      </xdr:nvSpPr>
      <xdr:spPr>
        <a:xfrm>
          <a:off x="6019240" y="110170"/>
          <a:ext cx="10625017" cy="23327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200" b="1" u="sng"/>
            <a:t>INSTRUCTIONS</a:t>
          </a:r>
          <a:r>
            <a:rPr lang="en-US" sz="3200"/>
            <a:t>:</a:t>
          </a:r>
        </a:p>
        <a:p>
          <a:pPr lvl="0"/>
          <a:r>
            <a:rPr lang="en-US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en-US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'Cases to Add to</a:t>
          </a:r>
          <a:r>
            <a:rPr lang="en-U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Monthly Planner' </a:t>
          </a:r>
          <a:r>
            <a:rPr lang="en-US" sz="2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shows total cases diverted from other tab.</a:t>
          </a:r>
          <a:endParaRPr lang="en-US" sz="2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2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en-US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</a:t>
          </a:r>
          <a:r>
            <a:rPr lang="en-US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cases by month</a:t>
          </a:r>
          <a:r>
            <a:rPr lang="en-US" sz="2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until </a:t>
          </a:r>
          <a:r>
            <a:rPr lang="en-US" sz="2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'Cases to Add to Monthly Planner' is zero.</a:t>
          </a:r>
          <a:endParaRPr lang="en-US" sz="2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endParaRPr lang="en-US" sz="1400"/>
        </a:p>
      </xdr:txBody>
    </xdr:sp>
    <xdr:clientData/>
  </xdr:twoCellAnchor>
  <xdr:twoCellAnchor editAs="absolute">
    <xdr:from>
      <xdr:col>2</xdr:col>
      <xdr:colOff>779321</xdr:colOff>
      <xdr:row>5</xdr:row>
      <xdr:rowOff>122464</xdr:rowOff>
    </xdr:from>
    <xdr:to>
      <xdr:col>3</xdr:col>
      <xdr:colOff>3728359</xdr:colOff>
      <xdr:row>9</xdr:row>
      <xdr:rowOff>122464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6BAF974-A859-4FB7-BCC1-FF16D3273422}"/>
            </a:ext>
          </a:extLst>
        </xdr:cNvPr>
        <xdr:cNvSpPr txBox="1"/>
      </xdr:nvSpPr>
      <xdr:spPr>
        <a:xfrm>
          <a:off x="1388921" y="1551214"/>
          <a:ext cx="3853913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 u="none"/>
            <a:t>Monthly Planner</a:t>
          </a:r>
        </a:p>
        <a:p>
          <a:pPr algn="ctr"/>
          <a:r>
            <a:rPr lang="en-US" sz="2400" b="1"/>
            <a:t>SY 2024 - 2025</a:t>
          </a:r>
        </a:p>
      </xdr:txBody>
    </xdr:sp>
    <xdr:clientData/>
  </xdr:twoCellAnchor>
  <xdr:twoCellAnchor editAs="oneCell">
    <xdr:from>
      <xdr:col>2</xdr:col>
      <xdr:colOff>857251</xdr:colOff>
      <xdr:row>0</xdr:row>
      <xdr:rowOff>27214</xdr:rowOff>
    </xdr:from>
    <xdr:to>
      <xdr:col>3</xdr:col>
      <xdr:colOff>3510643</xdr:colOff>
      <xdr:row>6</xdr:row>
      <xdr:rowOff>3952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0249F2-69D4-48C0-80BC-38A4421D8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1" y="27214"/>
          <a:ext cx="3558267" cy="16912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OPERATIONS\COMMODITY%20PROCESSING\CALCULATORS\SY2024\Rich%20Chicks%20SY24%20Commercial%20Planner%20with%20NAE%20Ite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ngs to Cases"/>
      <sheetName val="Cases by Month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7" name="Table419" displayName="Table419" ref="C12:P29" totalsRowCount="1" headerRowDxfId="452" dataDxfId="451" totalsRowDxfId="450">
  <autoFilter ref="C12:P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sortState ref="C13:L28">
    <sortCondition ref="C12:C28"/>
  </sortState>
  <tableColumns count="14">
    <tableColumn id="1" name="Item Code" dataDxfId="449" totalsRowDxfId="448"/>
    <tableColumn id="2" name="Product Description" dataDxfId="447" totalsRowDxfId="446"/>
    <tableColumn id="8" name="DF $ Value Per Case" dataDxfId="445" totalsRowDxfId="444"/>
    <tableColumn id="10" name="DF Pounds White Per Case" dataDxfId="443" totalsRowDxfId="442" dataCellStyle="Currency"/>
    <tableColumn id="11" name="DF Pounds Dark Per Case" dataDxfId="441" totalsRowDxfId="440" dataCellStyle="Currency"/>
    <tableColumn id="3" name="Avg. Wt. Per Serving" dataDxfId="439" totalsRowDxfId="438"/>
    <tableColumn id="5" name="Avg. Servings Per Case" dataDxfId="437" totalsRowDxfId="436" dataCellStyle="Normal_Alternate Order Forms 15-16"/>
    <tableColumn id="14" name="Servings Needed" dataDxfId="435" totalsRowDxfId="434" dataCellStyle="Normal_Alternate Order Forms 15-16"/>
    <tableColumn id="13" name="Svg. Rounded by Case" totalsRowFunction="sum" dataDxfId="433" totalsRowDxfId="432" dataCellStyle="Normal_Alternate Order Forms 15-16">
      <calculatedColumnFormula>MROUND(Table419[[#This Row],[Servings Needed]],80)</calculatedColumnFormula>
    </tableColumn>
    <tableColumn id="15" name="Finished Cases" totalsRowFunction="custom" dataDxfId="431" totalsRowDxfId="430" dataCellStyle="Comma">
      <calculatedColumnFormula>Table419[[#This Row],[Svg. Rounded by Case]]/Table419[[#This Row],[Avg. Servings Per Case]]</calculatedColumnFormula>
      <totalsRowFormula>SUM(L14:L21,L23:L28)</totalsRowFormula>
    </tableColumn>
    <tableColumn id="6" name="Total Servings" totalsRowFunction="custom" dataDxfId="429" totalsRowDxfId="428" dataCellStyle="Comma">
      <calculatedColumnFormula>#REF!*Table419[[#This Row],[Avg. Servings Per Case]]</calculatedColumnFormula>
      <totalsRowFormula>SUM(Table419[Total Servings])</totalsRowFormula>
    </tableColumn>
    <tableColumn id="4" name="DF $ Value" totalsRowFunction="custom" dataDxfId="427" totalsRowDxfId="426">
      <calculatedColumnFormula>Table419[[#This Row],[Finished Cases]]*Table419[[#This Row],[DF $ Value Per Case]]</calculatedColumnFormula>
      <totalsRowFormula>SUM(N14:N21,N23:N28)</totalsRowFormula>
    </tableColumn>
    <tableColumn id="9" name="DF Pounds WHITE" totalsRowFunction="custom" dataDxfId="425" totalsRowDxfId="424">
      <calculatedColumnFormula>Table419[[#This Row],[Finished Cases]]*20.5</calculatedColumnFormula>
      <totalsRowFormula>SUM(O14:O21,O23:O28)</totalsRowFormula>
    </tableColumn>
    <tableColumn id="12" name="DF Pounds DARK" dataDxfId="423" totalsRowDxfId="42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hite Meat Only Products TABLE"/>
    </ext>
  </extLst>
</table>
</file>

<file path=xl/tables/table10.xml><?xml version="1.0" encoding="utf-8"?>
<table xmlns="http://schemas.openxmlformats.org/spreadsheetml/2006/main" id="14" name="Table52019" displayName="Table52019" ref="C43:S50" totalsRowCount="1" headerRowDxfId="165" dataDxfId="163" totalsRowDxfId="161" headerRowBorderDxfId="164" tableBorderDxfId="162" totalsRowBorderDxfId="160">
  <autoFilter ref="C43:S4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sortState ref="C44:S49">
    <sortCondition ref="C43:C49"/>
  </sortState>
  <tableColumns count="17">
    <tableColumn id="1" name="Item Code" dataDxfId="159" totalsRowDxfId="158"/>
    <tableColumn id="2" name="Product Description" dataDxfId="157" totalsRowDxfId="156"/>
    <tableColumn id="4" name="Avg. Servings Per Case" dataDxfId="155" totalsRowDxfId="154" dataCellStyle="Normal_Alternate Order Forms 15-16"/>
    <tableColumn id="3" name="Cases to Add to Monthly Planner" dataDxfId="153" totalsRowDxfId="152">
      <calculatedColumnFormula>SUM('Servings to DF Pounds'!L45,'Cases to DF Pounds'!J45-Table52019[[#This Row],[Total Cases]])</calculatedColumnFormula>
    </tableColumn>
    <tableColumn id="5" name="Jul" totalsRowFunction="sum" dataDxfId="151" totalsRowDxfId="150" dataCellStyle="Comma"/>
    <tableColumn id="6" name="Aug" totalsRowFunction="sum" dataDxfId="149" totalsRowDxfId="148" dataCellStyle="Comma"/>
    <tableColumn id="7" name="Sep" totalsRowFunction="sum" dataDxfId="147" totalsRowDxfId="146" dataCellStyle="Comma"/>
    <tableColumn id="8" name="Oct" totalsRowFunction="sum" dataDxfId="145" totalsRowDxfId="144" dataCellStyle="Comma"/>
    <tableColumn id="9" name="Nov" totalsRowFunction="sum" dataDxfId="143" totalsRowDxfId="142" dataCellStyle="Comma"/>
    <tableColumn id="10" name="Dec" totalsRowFunction="sum" dataDxfId="141" totalsRowDxfId="140" dataCellStyle="Comma"/>
    <tableColumn id="11" name="Jan" totalsRowFunction="sum" dataDxfId="139" totalsRowDxfId="138" dataCellStyle="Comma"/>
    <tableColumn id="13" name="Feb" totalsRowFunction="sum" dataDxfId="137" totalsRowDxfId="136" dataCellStyle="Comma"/>
    <tableColumn id="16" name="Mar" totalsRowFunction="sum" dataDxfId="135" totalsRowDxfId="134" dataCellStyle="Comma"/>
    <tableColumn id="17" name="Apr" totalsRowFunction="sum" dataDxfId="133" totalsRowDxfId="132" dataCellStyle="Comma"/>
    <tableColumn id="18" name="May" totalsRowFunction="sum" dataDxfId="131" totalsRowDxfId="130" dataCellStyle="Comma"/>
    <tableColumn id="19" name="Jun" totalsRowFunction="sum" dataDxfId="129" totalsRowDxfId="128" dataCellStyle="Comma"/>
    <tableColumn id="15" name="Total Cases" totalsRowFunction="sum" dataDxfId="127" totalsRowDxfId="126" dataCellStyle="Comma">
      <calculatedColumnFormula>SUM(Table52019[[#This Row],[Jul]:[Jun]])</calculatedColumn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hite-Dark Meat Product Table"/>
    </ext>
  </extLst>
</table>
</file>

<file path=xl/tables/table11.xml><?xml version="1.0" encoding="utf-8"?>
<table xmlns="http://schemas.openxmlformats.org/spreadsheetml/2006/main" id="15" name="Table5202220" displayName="Table5202220" ref="C32:S40" totalsRowCount="1" headerRowDxfId="125" dataDxfId="124" totalsRowDxfId="123">
  <autoFilter ref="C32:S3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name="Item Code" dataDxfId="122" totalsRowDxfId="121"/>
    <tableColumn id="2" name="Product Description" dataDxfId="120" totalsRowDxfId="119"/>
    <tableColumn id="4" name="Avg. Servings Per Case" dataDxfId="118" totalsRowDxfId="117" dataCellStyle="Normal_Alternate Order Forms 15-16"/>
    <tableColumn id="3" name="Cases to Add to Monthly Planner" dataDxfId="116" totalsRowDxfId="115" dataCellStyle="Normal_Alternate Order Forms 15-16">
      <calculatedColumnFormula>SUM('Servings to DF Pounds'!L34,'Cases to DF Pounds'!J34)-Table5202220[[#This Row],[Total Cases]]</calculatedColumnFormula>
    </tableColumn>
    <tableColumn id="5" name="Jul" totalsRowFunction="sum" dataDxfId="114" totalsRowDxfId="113" dataCellStyle="Comma"/>
    <tableColumn id="6" name="Aug" totalsRowFunction="sum" dataDxfId="112" totalsRowDxfId="111" dataCellStyle="Comma"/>
    <tableColumn id="7" name="Sep" totalsRowFunction="sum" dataDxfId="110" totalsRowDxfId="109" dataCellStyle="Comma"/>
    <tableColumn id="8" name="Oct" totalsRowFunction="sum" dataDxfId="108" totalsRowDxfId="107" dataCellStyle="Comma"/>
    <tableColumn id="9" name="Nov" totalsRowFunction="sum" dataDxfId="106" totalsRowDxfId="105" dataCellStyle="Comma"/>
    <tableColumn id="10" name="Dec" totalsRowFunction="sum" dataDxfId="104" totalsRowDxfId="103" dataCellStyle="Comma"/>
    <tableColumn id="11" name="Jan" totalsRowFunction="sum" dataDxfId="102" totalsRowDxfId="101" dataCellStyle="Comma"/>
    <tableColumn id="12" name="Feb" totalsRowFunction="sum" dataDxfId="100" totalsRowDxfId="99" dataCellStyle="Comma"/>
    <tableColumn id="16" name="Mar" totalsRowFunction="sum" dataDxfId="98" totalsRowDxfId="97" dataCellStyle="Comma"/>
    <tableColumn id="17" name="Apr" totalsRowFunction="sum" dataDxfId="96" totalsRowDxfId="95" dataCellStyle="Comma"/>
    <tableColumn id="18" name="May" totalsRowFunction="sum" dataDxfId="94" totalsRowDxfId="93" dataCellStyle="Comma"/>
    <tableColumn id="19" name="Jun" totalsRowFunction="sum" dataDxfId="92" totalsRowDxfId="91" dataCellStyle="Comma"/>
    <tableColumn id="15" name="Total Cases" totalsRowFunction="sum" dataDxfId="90" totalsRowDxfId="89" dataCellStyle="Comma">
      <calculatedColumnFormula>SUM(Table5202220[[#This Row],[Jul]:[Jun]])</calculatedColumn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Dark Meat only Products"/>
    </ext>
  </extLst>
</table>
</file>

<file path=xl/tables/table12.xml><?xml version="1.0" encoding="utf-8"?>
<table xmlns="http://schemas.openxmlformats.org/spreadsheetml/2006/main" id="16" name="Table52025121321" displayName="Table52025121321" ref="C53:S61" totalsRowCount="1" headerRowDxfId="88" dataDxfId="86" totalsRowDxfId="84" headerRowBorderDxfId="87" tableBorderDxfId="85" totalsRowBorderDxfId="83">
  <sortState ref="C54:S58">
    <sortCondition ref="C43:C49"/>
  </sortState>
  <tableColumns count="17">
    <tableColumn id="1" name="Item Code" dataDxfId="82" totalsRowDxfId="81"/>
    <tableColumn id="2" name="Product Description" dataDxfId="80" totalsRowDxfId="79"/>
    <tableColumn id="4" name="Avg. Servings Per Case" dataDxfId="78" totalsRowDxfId="77" dataCellStyle="Normal_Alternate Order Forms 15-16"/>
    <tableColumn id="3" name="Cases to Add to Monthly Planner" dataDxfId="76" totalsRowDxfId="75">
      <calculatedColumnFormula>SUM('Servings to DF Pounds'!L55,'Cases to DF Pounds'!J55-Table52025121321[[#This Row],[Total Cases]])</calculatedColumnFormula>
    </tableColumn>
    <tableColumn id="5" name="Jul" totalsRowFunction="sum" dataDxfId="74" totalsRowDxfId="73" dataCellStyle="Comma"/>
    <tableColumn id="7" name="Aug" totalsRowFunction="sum" dataDxfId="72" totalsRowDxfId="71" dataCellStyle="Comma"/>
    <tableColumn id="8" name="Sep" totalsRowFunction="sum" dataDxfId="70" totalsRowDxfId="69" dataCellStyle="Comma"/>
    <tableColumn id="9" name="Oct" totalsRowFunction="sum" dataDxfId="68" totalsRowDxfId="67" dataCellStyle="Comma"/>
    <tableColumn id="10" name="Nov" totalsRowFunction="sum" dataDxfId="66" totalsRowDxfId="65" dataCellStyle="Comma"/>
    <tableColumn id="11" name="Dec" totalsRowFunction="sum" dataDxfId="64" totalsRowDxfId="63" dataCellStyle="Comma"/>
    <tableColumn id="13" name="Jan" totalsRowFunction="sum" dataDxfId="62" totalsRowDxfId="61" dataCellStyle="Comma"/>
    <tableColumn id="15" name="Feb" totalsRowFunction="sum" dataDxfId="60" totalsRowDxfId="59" dataCellStyle="Comma"/>
    <tableColumn id="16" name="Mar" totalsRowFunction="sum" dataDxfId="58" totalsRowDxfId="57" dataCellStyle="Comma"/>
    <tableColumn id="17" name="Apr" totalsRowFunction="sum" dataDxfId="56" totalsRowDxfId="55" dataCellStyle="Comma"/>
    <tableColumn id="18" name="May" totalsRowFunction="sum" dataDxfId="54" totalsRowDxfId="53" dataCellStyle="Comma"/>
    <tableColumn id="19" name="Jun" totalsRowFunction="sum" dataDxfId="52" totalsRowDxfId="51" dataCellStyle="Comma"/>
    <tableColumn id="6" name="Total Cases" totalsRowFunction="sum" dataDxfId="50" totalsRowDxfId="49">
      <calculatedColumnFormula>SUM(Table52025121321[[#This Row],[Jul]:[Jun]])</calculatedColumn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hite-Dark Meat Product Table"/>
    </ext>
  </extLst>
</table>
</file>

<file path=xl/tables/table13.xml><?xml version="1.0" encoding="utf-8"?>
<table xmlns="http://schemas.openxmlformats.org/spreadsheetml/2006/main" id="40" name="Table40" displayName="Table40" ref="E13:E14" totalsRowShown="0" headerRowDxfId="48" dataDxfId="47" dataCellStyle="Comma">
  <autoFilter ref="E13:E14">
    <filterColumn colId="0" hiddenButton="1"/>
  </autoFilter>
  <tableColumns count="1">
    <tableColumn id="1" name="Dark Pounds Needed to Balance Order" dataDxfId="46" dataCellStyle="Comma">
      <calculatedColumnFormula>(((Table419[[#Totals],[DF Pounds WHITE]]+Table520251213[[#Totals],[DF Pounds WHITE]])*0.3109)/0.6891)-((Table52022[[#Totals],[DF Pounds DARK]])+Table520251213[[#Totals],[DF Pounds DARK]])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id="3" name="Table204" displayName="Table204" ref="G13:J14" totalsRowShown="0" headerRowDxfId="45" dataDxfId="44" dataCellStyle="Comma">
  <autoFilter ref="G13:J14">
    <filterColumn colId="0" hiddenButton="1"/>
    <filterColumn colId="1" hiddenButton="1"/>
    <filterColumn colId="2" hiddenButton="1"/>
    <filterColumn colId="3" hiddenButton="1"/>
  </autoFilter>
  <tableColumns count="4">
    <tableColumn id="2" name=" Sausage Dark Cases" dataDxfId="43" dataCellStyle="Comma">
      <calculatedColumnFormula>Table40[Dark Pounds Needed to Balance Order]/53.3</calculatedColumnFormula>
    </tableColumn>
    <tableColumn id="3" name="Dark Servings " dataDxfId="42" dataCellStyle="Comma">
      <calculatedColumnFormula>G14*232</calculatedColumnFormula>
    </tableColumn>
    <tableColumn id="4" name="Dark Servings Rounded to nearest Case" dataDxfId="41" dataCellStyle="Comma">
      <calculatedColumnFormula>IF(Table204[[Dark Servings ]]&lt;0,Table204[[Dark Servings ]],Table204[Dark Cases Rounded]*232)</calculatedColumnFormula>
    </tableColumn>
    <tableColumn id="5" name="Dark Cases Rounded" dataDxfId="40" dataCellStyle="Comma">
      <calculatedColumnFormula>ROUNDDOWN(Table204[[ Sausage Dark Cases]],0)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ark Pounds Table"/>
    </ext>
  </extLst>
</table>
</file>

<file path=xl/tables/table15.xml><?xml version="1.0" encoding="utf-8"?>
<table xmlns="http://schemas.openxmlformats.org/spreadsheetml/2006/main" id="19" name="Table20" displayName="Table20" ref="G16:J17" totalsRowShown="0" headerRowDxfId="39" dataDxfId="38" dataCellStyle="Comma">
  <autoFilter ref="G16:J17">
    <filterColumn colId="0" hiddenButton="1"/>
    <filterColumn colId="1" hiddenButton="1"/>
    <filterColumn colId="2" hiddenButton="1"/>
    <filterColumn colId="3" hiddenButton="1"/>
  </autoFilter>
  <tableColumns count="4">
    <tableColumn id="2" name="Popper Dark Cases" dataDxfId="37" dataCellStyle="Comma">
      <calculatedColumnFormula>Table40[Dark Pounds Needed to Balance Order]/31.8</calculatedColumnFormula>
    </tableColumn>
    <tableColumn id="3" name="Dark Servings " dataDxfId="36" dataCellStyle="Comma">
      <calculatedColumnFormula>G17*77</calculatedColumnFormula>
    </tableColumn>
    <tableColumn id="4" name="Dark Servings Rounded to nearest Case" dataDxfId="35" dataCellStyle="Comma">
      <calculatedColumnFormula>IF(Table20[[Dark Servings ]]&lt;0,Table20[[Dark Servings ]],Table20[Dark Cases Rounded]*77)</calculatedColumnFormula>
    </tableColumn>
    <tableColumn id="5" name="Dark Cases Rounded" dataDxfId="34" dataCellStyle="Comma">
      <calculatedColumnFormula>ROUNDDOWN(Table20[Popper Dark Cases],0)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rvings Dark Table"/>
    </ext>
  </extLst>
</table>
</file>

<file path=xl/tables/table16.xml><?xml version="1.0" encoding="utf-8"?>
<table xmlns="http://schemas.openxmlformats.org/spreadsheetml/2006/main" id="5" name="Table206" displayName="Table206" ref="G20:J21" totalsRowShown="0" headerRowDxfId="33" dataDxfId="32" dataCellStyle="Comma">
  <tableColumns count="4">
    <tableColumn id="2" name="Garlic Basil Meatball Cases" dataDxfId="31" dataCellStyle="Comma">
      <calculatedColumnFormula>Table40[Dark Pounds Needed to Balance Order]/39.27</calculatedColumnFormula>
    </tableColumn>
    <tableColumn id="3" name="Dark Servings " dataDxfId="30" dataCellStyle="Comma">
      <calculatedColumnFormula>G21*123</calculatedColumnFormula>
    </tableColumn>
    <tableColumn id="4" name="Dark Servings Rounded to nearest Case" dataDxfId="29" dataCellStyle="Comma">
      <calculatedColumnFormula>IF(Table206[[Dark Servings ]]&lt;0,Table206[[Dark Servings ]],Table206[Dark Cases Rounded]*123)</calculatedColumnFormula>
    </tableColumn>
    <tableColumn id="5" name="Dark Cases Rounded" dataDxfId="28" dataCellStyle="Comma">
      <calculatedColumnFormula>ROUNDDOWN(Table206[Garlic Basil Meatball Cases],0)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rvings Dark Table"/>
    </ext>
  </extLst>
</table>
</file>

<file path=xl/tables/table17.xml><?xml version="1.0" encoding="utf-8"?>
<table xmlns="http://schemas.openxmlformats.org/spreadsheetml/2006/main" id="6" name="Table2067" displayName="Table2067" ref="G24:J25" totalsRowShown="0" headerRowDxfId="27" dataDxfId="26" dataCellStyle="Comma">
  <tableColumns count="4">
    <tableColumn id="2" name="Mango Jalapeno Meatball Cases" dataDxfId="25" dataCellStyle="Comma">
      <calculatedColumnFormula>Table40[Dark Pounds Needed to Balance Order]/38.59</calculatedColumnFormula>
    </tableColumn>
    <tableColumn id="3" name="Dark Servings " dataDxfId="24" dataCellStyle="Comma">
      <calculatedColumnFormula>G25*123</calculatedColumnFormula>
    </tableColumn>
    <tableColumn id="4" name="Dark Servings Rounded to nearest Case" dataDxfId="23" dataCellStyle="Comma">
      <calculatedColumnFormula>IF(Table2067[[Dark Servings ]]&lt;0,Table2067[[Dark Servings ]],Table2067[Dark Cases Rounded]*123)</calculatedColumnFormula>
    </tableColumn>
    <tableColumn id="5" name="Dark Cases Rounded" dataDxfId="22" dataCellStyle="Comma">
      <calculatedColumnFormula>ROUNDDOWN(Table2067[Mango Jalapeno Meatball Cases],0)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rvings Dark Table"/>
    </ext>
  </extLst>
</table>
</file>

<file path=xl/tables/table18.xml><?xml version="1.0" encoding="utf-8"?>
<table xmlns="http://schemas.openxmlformats.org/spreadsheetml/2006/main" id="10" name="Table206711" displayName="Table206711" ref="G27:J28" totalsRowShown="0" headerRowDxfId="21" dataDxfId="20" dataCellStyle="Comma">
  <tableColumns count="4">
    <tableColumn id="2" name="Chicken Crumble Cases" dataDxfId="19" dataCellStyle="Comma">
      <calculatedColumnFormula>Table40[Dark Pounds Needed to Balance Order]/47.63</calculatedColumnFormula>
    </tableColumn>
    <tableColumn id="3" name="Dark Servings " dataDxfId="18" dataCellStyle="Comma">
      <calculatedColumnFormula>G28*123</calculatedColumnFormula>
    </tableColumn>
    <tableColumn id="4" name="Dark Servings Rounded to nearest Case" dataDxfId="17" dataCellStyle="Comma">
      <calculatedColumnFormula>IF(Table206711[[Dark Servings ]]&lt;0,Table206711[[Dark Servings ]],Table206711[Dark Cases Rounded]*123)</calculatedColumnFormula>
    </tableColumn>
    <tableColumn id="5" name="Dark Cases Rounded" dataDxfId="16" dataCellStyle="Comma">
      <calculatedColumnFormula>ROUNDDOWN(Table206711[Chicken Crumble Cases],0)</calculatedColumn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rvings Dark Table"/>
    </ext>
  </extLst>
</table>
</file>

<file path=xl/tables/table19.xml><?xml version="1.0" encoding="utf-8"?>
<table xmlns="http://schemas.openxmlformats.org/spreadsheetml/2006/main" id="20" name="Table1521" displayName="Table1521" ref="F17:F18" totalsRowShown="0" headerRowDxfId="15" dataDxfId="14" dataCellStyle="Comma">
  <autoFilter ref="F17:F18"/>
  <tableColumns count="1">
    <tableColumn id="1" name="Popper Dark Meat Formed Cases" dataDxfId="13" dataCellStyle="Comma">
      <calculatedColumnFormula>ROUND(Table153322[Dark Meat DF Pounds Required]/31.8,0)</calculatedColumnFormula>
    </tableColumn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Popper Dark Meat Formed Cases Table"/>
    </ext>
  </extLst>
</table>
</file>

<file path=xl/tables/table2.xml><?xml version="1.0" encoding="utf-8"?>
<table xmlns="http://schemas.openxmlformats.org/spreadsheetml/2006/main" id="8" name="Table520" displayName="Table520" ref="C44:P51" totalsRowCount="1" headerRowDxfId="421" dataDxfId="419" totalsRowDxfId="417" headerRowBorderDxfId="420" tableBorderDxfId="418" totalsRowBorderDxfId="416">
  <autoFilter ref="C44:P5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sortState ref="C45:P50">
    <sortCondition ref="C44:C50"/>
  </sortState>
  <tableColumns count="14">
    <tableColumn id="1" name="Item Code" dataDxfId="415" totalsRowDxfId="414"/>
    <tableColumn id="2" name="Product Description" dataDxfId="413" totalsRowDxfId="412"/>
    <tableColumn id="8" name="DF $ Value Per Case" dataDxfId="411" totalsRowDxfId="410" dataCellStyle="Currency"/>
    <tableColumn id="11" name="DF Pounds White Per Case" dataDxfId="409" totalsRowDxfId="408" dataCellStyle="Currency"/>
    <tableColumn id="10" name="DF Pounds Dark Per Case" dataDxfId="407" totalsRowDxfId="406" dataCellStyle="Currency"/>
    <tableColumn id="3" name="Avg. Wt. Per Serving" dataDxfId="405" totalsRowDxfId="404"/>
    <tableColumn id="4" name="Avg. Servings Per Case" dataDxfId="403" totalsRowDxfId="402" dataCellStyle="Normal_Alternate Order Forms 15-16"/>
    <tableColumn id="15" name="Servings Needed" dataDxfId="401" totalsRowDxfId="400" dataCellStyle="Comma"/>
    <tableColumn id="14" name="Svg. Rounded by Case" dataDxfId="399" totalsRowDxfId="398" dataCellStyle="Comma">
      <calculatedColumnFormula>MROUND(Table520[[#This Row],[Servings Needed]],107)</calculatedColumnFormula>
    </tableColumn>
    <tableColumn id="12" name="Finished Cases" totalsRowFunction="custom" dataDxfId="397" totalsRowDxfId="396" dataCellStyle="Comma">
      <calculatedColumnFormula>Table520[[#This Row],[Svg. Rounded by Case]]/Table520[[#This Row],[Avg. Servings Per Case]]</calculatedColumnFormula>
      <totalsRowFormula>SUM(Table520[Finished Cases])</totalsRowFormula>
    </tableColumn>
    <tableColumn id="5" name="Total Servings" totalsRowFunction="custom" dataDxfId="395" totalsRowDxfId="394" dataCellStyle="Comma">
      <totalsRowFormula>SUM(Table520[Total Servings])</totalsRowFormula>
    </tableColumn>
    <tableColumn id="7" name="DF $ Value" totalsRowFunction="sum" dataDxfId="393" totalsRowDxfId="392" dataCellStyle="Currency">
      <calculatedColumnFormula>Table520[[#This Row],[Finished Cases]]*Table520[[#This Row],[DF $ Value Per Case]]</calculatedColumnFormula>
    </tableColumn>
    <tableColumn id="9" name="DF Pounds WHITE" totalsRowFunction="custom" dataDxfId="391" totalsRowDxfId="390" dataCellStyle="Comma">
      <calculatedColumnFormula>Table520[[#This Row],[Finished Cases]]*9.24</calculatedColumnFormula>
      <totalsRowFormula>SUM(Table520[DF Pounds WHITE])</totalsRowFormula>
    </tableColumn>
    <tableColumn id="13" name="DF Pounds DARK" totalsRowFunction="custom" dataDxfId="389" totalsRowDxfId="388" dataCellStyle="Comma">
      <calculatedColumnFormula>Table520[[#This Row],[Finished Cases]]*4.17</calculatedColumnFormula>
      <totalsRowFormula>SUM(Table520[DF Pounds DARK])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hite-Dark Meat Product Table"/>
    </ext>
  </extLst>
</table>
</file>

<file path=xl/tables/table20.xml><?xml version="1.0" encoding="utf-8"?>
<table xmlns="http://schemas.openxmlformats.org/spreadsheetml/2006/main" id="31" name="Table15332" displayName="Table15332" ref="E17:E18" totalsRowShown="0" headerRowDxfId="12" dataDxfId="11" dataCellStyle="Comma">
  <autoFilter ref="E17:E18"/>
  <tableColumns count="1">
    <tableColumn id="1" name="Sausage Dark Meat Formed Cases" dataDxfId="10" dataCellStyle="Comma">
      <calculatedColumnFormula>ROUND(Table153322[Dark Meat DF Pounds Required]/53.3,0)</calculatedColumnFormula>
    </tableColumn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Sausage Dark Meat Cases"/>
    </ext>
  </extLst>
</table>
</file>

<file path=xl/tables/table21.xml><?xml version="1.0" encoding="utf-8"?>
<table xmlns="http://schemas.openxmlformats.org/spreadsheetml/2006/main" id="1" name="Table153322" displayName="Table153322" ref="E13:E14" totalsRowShown="0" headerRowDxfId="9" dataDxfId="8" dataCellStyle="Comma">
  <autoFilter ref="E13:E14"/>
  <tableColumns count="1">
    <tableColumn id="1" name="Dark Meat DF Pounds Required" dataDxfId="7" dataCellStyle="Comma">
      <calculatedColumnFormula>(((Table41922[[#Totals],[DF Pounds WHITE]]+Table5202512[[#Totals],[DF Pounds WHITE]])*0.3109)/0.6891)-(Table5202226[[#Totals],[DF Pounds DARK]]+Table5202512[[#Totals],[DF Pounds DARK]])</calculatedColumnFormula>
    </tableColumn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Sausage Dark Meat Cases"/>
    </ext>
  </extLst>
</table>
</file>

<file path=xl/tables/table22.xml><?xml version="1.0" encoding="utf-8"?>
<table xmlns="http://schemas.openxmlformats.org/spreadsheetml/2006/main" id="2" name="Table15213" displayName="Table15213" ref="G17:G18" totalsRowShown="0" headerRowDxfId="6" dataDxfId="5" dataCellStyle="Comma">
  <autoFilter ref="G17:G18"/>
  <tableColumns count="1">
    <tableColumn id="1" name="Garlic Basil Meatball  Cases" dataDxfId="4" dataCellStyle="Comma">
      <calculatedColumnFormula>ROUND(Table153322[Dark Meat DF Pounds Required]/39.27,0)</calculatedColumnFormula>
    </tableColumn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Popper Dark Meat Formed Cases Table"/>
    </ext>
  </extLst>
</table>
</file>

<file path=xl/tables/table23.xml><?xml version="1.0" encoding="utf-8"?>
<table xmlns="http://schemas.openxmlformats.org/spreadsheetml/2006/main" id="4" name="Table152135" displayName="Table152135" ref="H17:I18" totalsRowShown="0" headerRowDxfId="3" dataDxfId="2" dataCellStyle="Comma">
  <autoFilter ref="H17:I18"/>
  <tableColumns count="2">
    <tableColumn id="1" name="Mango Jalapeno Meatball Cases" dataDxfId="1" dataCellStyle="Comma">
      <calculatedColumnFormula>ROUND(Table153322[Dark Meat DF Pounds Required]/38.59,0)</calculatedColumnFormula>
    </tableColumn>
    <tableColumn id="2" name="Chicken Crumble Cases" dataDxfId="0" dataCellStyle="Comma">
      <calculatedColumnFormula>ROUND(Table153322[Dark Meat DF Pounds Required]/47.63,0)</calculatedColumnFormula>
    </tableColumn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Popper Dark Meat Formed Cases Table"/>
    </ext>
  </extLst>
</table>
</file>

<file path=xl/tables/table3.xml><?xml version="1.0" encoding="utf-8"?>
<table xmlns="http://schemas.openxmlformats.org/spreadsheetml/2006/main" id="9" name="Table52022" displayName="Table52022" ref="C33:P41" totalsRowCount="1" headerRowDxfId="387" dataDxfId="386" totalsRowDxfId="385">
  <autoFilter ref="C33:P4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Item Code" dataDxfId="384" totalsRowDxfId="383"/>
    <tableColumn id="2" name="Product Description" dataDxfId="382" totalsRowDxfId="381"/>
    <tableColumn id="8" name="DF $ Value Per Case" dataDxfId="380" totalsRowDxfId="379" dataCellStyle="Currency"/>
    <tableColumn id="9" name="DF Pounds White Per Case" dataDxfId="378" totalsRowDxfId="377" dataCellStyle="Comma"/>
    <tableColumn id="11" name="DF Pounds Dark Per Case" dataDxfId="376" totalsRowDxfId="375" dataCellStyle="Currency"/>
    <tableColumn id="3" name="Avg. Wt. Per Serving" dataDxfId="374" totalsRowDxfId="373"/>
    <tableColumn id="4" name="Avg. Servings Per Case" dataDxfId="372" totalsRowDxfId="371" dataCellStyle="Normal_Alternate Order Forms 15-16"/>
    <tableColumn id="15" name="Servings Needed" dataDxfId="370" totalsRowDxfId="369" dataCellStyle="Comma"/>
    <tableColumn id="14" name="Svg. Rounded by Case" dataDxfId="368" totalsRowDxfId="367" dataCellStyle="Comma">
      <calculatedColumnFormula>MROUND(Table52022[[#This Row],[Servings Needed]],77)</calculatedColumnFormula>
    </tableColumn>
    <tableColumn id="13" name="Finished Cases" totalsRowFunction="custom" dataDxfId="366" totalsRowDxfId="365" dataCellStyle="Comma">
      <calculatedColumnFormula>Table52022[[#This Row],[Svg. Rounded by Case]]/Table52022[[#This Row],[Avg. Servings Per Case]]</calculatedColumnFormula>
      <totalsRowFormula>SUM(Table52022[Finished Cases])</totalsRowFormula>
    </tableColumn>
    <tableColumn id="6" name="Total Servings" totalsRowFunction="custom" dataDxfId="364" totalsRowDxfId="363">
      <totalsRowFormula>SUM(Table52022[Total Servings])</totalsRowFormula>
    </tableColumn>
    <tableColumn id="7" name="DF $ Value" totalsRowFunction="custom" dataDxfId="362" totalsRowDxfId="361" dataCellStyle="Currency">
      <calculatedColumnFormula>Table52022[[#This Row],[Finished Cases]]*Table52022[[#This Row],[DF $ Value Per Case]]</calculatedColumnFormula>
      <totalsRowFormula>SUM(Table52022[DF $ Value])</totalsRowFormula>
    </tableColumn>
    <tableColumn id="10" name="DF Pounds WHITE" dataDxfId="360" totalsRowDxfId="359" dataCellStyle="Comma"/>
    <tableColumn id="12" name="DF Pounds DARK" totalsRowFunction="custom" dataDxfId="358" totalsRowDxfId="357" dataCellStyle="Comma">
      <totalsRowFormula>SUM(Table52022[DF Pounds DARK])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Dark Meat only Products"/>
    </ext>
  </extLst>
</table>
</file>

<file path=xl/tables/table4.xml><?xml version="1.0" encoding="utf-8"?>
<table xmlns="http://schemas.openxmlformats.org/spreadsheetml/2006/main" id="12" name="Table520251213" displayName="Table520251213" ref="C54:P60" totalsRowCount="1" headerRowDxfId="356" dataDxfId="354" totalsRowDxfId="352" headerRowBorderDxfId="355" tableBorderDxfId="353" totalsRowBorderDxfId="351">
  <sortState ref="C55:P59">
    <sortCondition ref="C44:C50"/>
  </sortState>
  <tableColumns count="14">
    <tableColumn id="1" name="Item Code" dataDxfId="350" totalsRowDxfId="349"/>
    <tableColumn id="2" name="Product Description" dataDxfId="348" totalsRowDxfId="347"/>
    <tableColumn id="8" name="DF $ Value Per Case" dataDxfId="346" totalsRowDxfId="345" dataCellStyle="Currency"/>
    <tableColumn id="11" name="DF Pounds White Per Case" dataDxfId="344" totalsRowDxfId="343" dataCellStyle="Currency"/>
    <tableColumn id="10" name="DF Pounds Dark Per Case" dataDxfId="342" totalsRowDxfId="341" dataCellStyle="Currency"/>
    <tableColumn id="3" name="Avg. Wt. Per Serving" dataDxfId="340" totalsRowDxfId="339"/>
    <tableColumn id="4" name="Avg. Servings Per Case" dataDxfId="338" totalsRowDxfId="337" dataCellStyle="Normal_Alternate Order Forms 15-16"/>
    <tableColumn id="6" name="Servings Needed" totalsRowFunction="custom" dataDxfId="336" totalsRowDxfId="335">
      <totalsRowFormula>SUM(Table520251213[Servings Needed])</totalsRowFormula>
    </tableColumn>
    <tableColumn id="14" name="Svg. Rounded by Case" dataDxfId="334" totalsRowDxfId="333">
      <calculatedColumnFormula>MROUND(Table520251213[[#This Row],[Servings Needed]],78)</calculatedColumnFormula>
    </tableColumn>
    <tableColumn id="12" name="Finished Cases" dataDxfId="332" totalsRowDxfId="331">
      <calculatedColumnFormula>Table520251213[[#This Row],[Svg. Rounded by Case]]/Table520251213[[#This Row],[Avg. Servings Per Case]]</calculatedColumnFormula>
    </tableColumn>
    <tableColumn id="5" name="Total Servings" totalsRowFunction="custom" dataDxfId="330" totalsRowDxfId="329" dataCellStyle="Comma">
      <calculatedColumnFormula>Table520251213[[#This Row],[Finished Cases]]*78</calculatedColumnFormula>
      <totalsRowFormula>SUM(Table520251213[Total Servings])</totalsRowFormula>
    </tableColumn>
    <tableColumn id="7" name="DF $ Value" totalsRowFunction="sum" dataDxfId="328" totalsRowDxfId="327" dataCellStyle="Currency">
      <calculatedColumnFormula>Table520251213[[#This Row],[Finished Cases]]*Table520251213[[#This Row],[DF $ Value Per Case]]</calculatedColumnFormula>
    </tableColumn>
    <tableColumn id="9" name="DF Pounds WHITE" totalsRowFunction="custom" dataDxfId="326" totalsRowDxfId="325" dataCellStyle="Comma">
      <calculatedColumnFormula>Table520251213[[#This Row],[Finished Cases]]*20.5</calculatedColumnFormula>
      <totalsRowFormula>SUM(Table520251213[DF Pounds WHITE])</totalsRowFormula>
    </tableColumn>
    <tableColumn id="13" name="DF Pounds DARK" totalsRowFunction="sum" dataDxfId="324" totalsRowDxfId="323" dataCellStyle="Comma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hite-Dark Meat Product Table"/>
    </ext>
  </extLst>
</table>
</file>

<file path=xl/tables/table5.xml><?xml version="1.0" encoding="utf-8"?>
<table xmlns="http://schemas.openxmlformats.org/spreadsheetml/2006/main" id="21" name="Table41922" displayName="Table41922" ref="C12:N29" totalsRowCount="1" headerRowDxfId="317" dataDxfId="316" totalsRowDxfId="315">
  <autoFilter ref="C12:N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sortState ref="C13:J28">
    <sortCondition ref="C12:C28"/>
  </sortState>
  <tableColumns count="12">
    <tableColumn id="1" name="Item Code" dataDxfId="314" totalsRowDxfId="313"/>
    <tableColumn id="2" name="Product Description" dataDxfId="312" totalsRowDxfId="311"/>
    <tableColumn id="8" name="DF $ Value Per Case" dataDxfId="310" totalsRowDxfId="309"/>
    <tableColumn id="10" name="DF Pounds White Per Case" dataDxfId="308" totalsRowDxfId="307" dataCellStyle="Currency"/>
    <tableColumn id="11" name="DF Pounds Dark Per Case" dataDxfId="306" totalsRowDxfId="305" dataCellStyle="Currency"/>
    <tableColumn id="3" name="Avg. Wt. Per Serving" dataDxfId="304" totalsRowDxfId="303"/>
    <tableColumn id="5" name="Avg. Servings Per Case" dataDxfId="302" totalsRowDxfId="301" dataCellStyle="Normal_Alternate Order Forms 15-16"/>
    <tableColumn id="7" name="Finished Cases" totalsRowFunction="custom" dataDxfId="300" totalsRowDxfId="299">
      <totalsRowFormula>SUM(Table41922[Finished Cases])</totalsRowFormula>
    </tableColumn>
    <tableColumn id="6" name="Total Servings" totalsRowFunction="custom" dataDxfId="298" totalsRowDxfId="297" dataCellStyle="Comma">
      <calculatedColumnFormula>Table41922[[#This Row],[Finished Cases]]*Table41922[[#This Row],[Avg. Servings Per Case]]</calculatedColumnFormula>
      <totalsRowFormula>SUM(Table41922[Total Servings])</totalsRowFormula>
    </tableColumn>
    <tableColumn id="4" name="DF $ Value" totalsRowFunction="custom" dataDxfId="296" totalsRowDxfId="295">
      <calculatedColumnFormula>Table41922[[#This Row],[Finished Cases]]*Table41922[[#This Row],[DF $ Value Per Case]]</calculatedColumnFormula>
      <totalsRowFormula>SUM(L14:L21,L23:L28)</totalsRowFormula>
    </tableColumn>
    <tableColumn id="9" name="DF Pounds WHITE" totalsRowFunction="custom" dataDxfId="294" totalsRowDxfId="293">
      <calculatedColumnFormula>Table41922[[#This Row],[Finished Cases]]*20.5</calculatedColumnFormula>
      <totalsRowFormula>SUM(M14:M21,M23:M28)</totalsRowFormula>
    </tableColumn>
    <tableColumn id="12" name="DF Pounds DARK" dataDxfId="292" totalsRowDxfId="291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hite Meat Only Products TABLE"/>
    </ext>
  </extLst>
</table>
</file>

<file path=xl/tables/table6.xml><?xml version="1.0" encoding="utf-8"?>
<table xmlns="http://schemas.openxmlformats.org/spreadsheetml/2006/main" id="24" name="Table52025" displayName="Table52025" ref="C44:N51" totalsRowCount="1" headerRowDxfId="290" dataDxfId="288" totalsRowDxfId="286" headerRowBorderDxfId="289" tableBorderDxfId="287" totalsRowBorderDxfId="285">
  <autoFilter ref="C44:N5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sortState ref="C45:N50">
    <sortCondition ref="C44:C50"/>
  </sortState>
  <tableColumns count="12">
    <tableColumn id="1" name="Item Code" dataDxfId="284" totalsRowDxfId="283"/>
    <tableColumn id="2" name="Product Description" dataDxfId="282" totalsRowDxfId="281"/>
    <tableColumn id="8" name="DF $ Value Per Case" dataDxfId="280" totalsRowDxfId="279"/>
    <tableColumn id="11" name="DF Pounds White Per Case" dataDxfId="278" totalsRowDxfId="277" dataCellStyle="Currency"/>
    <tableColumn id="10" name="DF Pounds Dark Per Case" dataDxfId="276" totalsRowDxfId="275" dataCellStyle="Currency"/>
    <tableColumn id="3" name="Avg. Wt. Per Serving" dataDxfId="274" totalsRowDxfId="273"/>
    <tableColumn id="4" name="Avg. Servings Per Case" dataDxfId="272" totalsRowDxfId="271" dataCellStyle="Normal_Alternate Order Forms 15-16"/>
    <tableColumn id="6" name="Finished Cases" totalsRowFunction="custom" dataDxfId="270" totalsRowDxfId="269">
      <totalsRowFormula>SUM(Table52025[Finished Cases])</totalsRowFormula>
    </tableColumn>
    <tableColumn id="5" name="Total Servings" totalsRowFunction="custom" dataDxfId="268" totalsRowDxfId="267" dataCellStyle="Comma">
      <totalsRowFormula>SUM(Table52025[Total Servings])</totalsRowFormula>
    </tableColumn>
    <tableColumn id="7" name="DF $ Value" totalsRowFunction="sum" dataDxfId="266" totalsRowDxfId="265" dataCellStyle="Currency">
      <calculatedColumnFormula>Table52025[[#This Row],[Finished Cases]]*Table52025[[#This Row],[DF $ Value Per Case]]</calculatedColumnFormula>
    </tableColumn>
    <tableColumn id="9" name="DF Pounds WHITE" totalsRowFunction="custom" dataDxfId="264" totalsRowDxfId="263" dataCellStyle="Comma">
      <calculatedColumnFormula>Table52025[[#This Row],[Finished Cases]]*9.24</calculatedColumnFormula>
      <totalsRowFormula>SUM(Table52025[DF Pounds WHITE])</totalsRowFormula>
    </tableColumn>
    <tableColumn id="13" name="DF Pounds DARK" totalsRowFunction="custom" dataDxfId="262" totalsRowDxfId="261" dataCellStyle="Comma">
      <calculatedColumnFormula>Table52025[[#This Row],[Finished Cases]]*4.17</calculatedColumnFormula>
      <totalsRowFormula>SUM(Table52025[DF Pounds DARK])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hite-Dark Meat Product Table"/>
    </ext>
  </extLst>
</table>
</file>

<file path=xl/tables/table7.xml><?xml version="1.0" encoding="utf-8"?>
<table xmlns="http://schemas.openxmlformats.org/spreadsheetml/2006/main" id="25" name="Table5202226" displayName="Table5202226" ref="C33:N41" totalsRowCount="1" headerRowDxfId="260" dataDxfId="259" totalsRowDxfId="258">
  <autoFilter ref="C33:N4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Item Code" dataDxfId="257" totalsRowDxfId="256"/>
    <tableColumn id="2" name="Product Description" dataDxfId="255" totalsRowDxfId="254"/>
    <tableColumn id="8" name="DF $ Value Per Case" dataDxfId="253" totalsRowDxfId="252" dataCellStyle="Currency"/>
    <tableColumn id="9" name="DF Pounds White Per Case" dataDxfId="251" totalsRowDxfId="250" dataCellStyle="Comma"/>
    <tableColumn id="11" name="DF Pounds Dark Per Case" dataDxfId="249" totalsRowDxfId="248" dataCellStyle="Currency"/>
    <tableColumn id="3" name="Avg. Wt. Per Serving" dataDxfId="247" totalsRowDxfId="246"/>
    <tableColumn id="4" name="Avg. Servings Per Case" dataDxfId="245" totalsRowDxfId="244" dataCellStyle="Normal_Alternate Order Forms 15-16"/>
    <tableColumn id="5" name="Finished Cases" totalsRowFunction="custom" dataDxfId="243" totalsRowDxfId="242" dataCellStyle="Comma">
      <totalsRowFormula>SUM(Table5202226[Finished Cases])</totalsRowFormula>
    </tableColumn>
    <tableColumn id="6" name="Total Servings" totalsRowFunction="custom" dataDxfId="241" totalsRowDxfId="240">
      <calculatedColumnFormula>Table5202226[[#This Row],[Avg. Servings Per Case]]*Table5202226[[#This Row],[Finished Cases]]</calculatedColumnFormula>
      <totalsRowFormula>SUM(Table5202226[Total Servings])</totalsRowFormula>
    </tableColumn>
    <tableColumn id="7" name="DF $ Value" totalsRowFunction="custom" dataDxfId="239" totalsRowDxfId="238" dataCellStyle="Currency">
      <calculatedColumnFormula>Table5202226[[#This Row],[Finished Cases]]*Table5202226[[#This Row],[DF $ Value Per Case]]</calculatedColumnFormula>
      <totalsRowFormula>SUM(Table5202226[DF $ Value])</totalsRowFormula>
    </tableColumn>
    <tableColumn id="10" name="DF Pounds WHITE" dataDxfId="237" totalsRowDxfId="236" dataCellStyle="Comma"/>
    <tableColumn id="12" name="DF Pounds DARK" totalsRowFunction="custom" dataDxfId="235" totalsRowDxfId="234" dataCellStyle="Comma">
      <totalsRowFormula>SUM(Table5202226[DF Pounds DARK])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Dark Meat only Products"/>
    </ext>
  </extLst>
</table>
</file>

<file path=xl/tables/table8.xml><?xml version="1.0" encoding="utf-8"?>
<table xmlns="http://schemas.openxmlformats.org/spreadsheetml/2006/main" id="11" name="Table5202512" displayName="Table5202512" ref="C54:N60" totalsRowCount="1" headerRowDxfId="233" dataDxfId="231" totalsRowDxfId="229" headerRowBorderDxfId="232" tableBorderDxfId="230" totalsRowBorderDxfId="228">
  <sortState ref="C55:N59">
    <sortCondition ref="C44:C50"/>
  </sortState>
  <tableColumns count="12">
    <tableColumn id="1" name="Item Code" dataDxfId="227" totalsRowDxfId="226"/>
    <tableColumn id="2" name="Product Description" dataDxfId="225" totalsRowDxfId="224"/>
    <tableColumn id="8" name="DF $ Value Per Case" dataDxfId="223" totalsRowDxfId="222" dataCellStyle="Currency"/>
    <tableColumn id="11" name="DF Pounds White Per Case" dataDxfId="221" totalsRowDxfId="220" dataCellStyle="Currency"/>
    <tableColumn id="10" name="DF Pounds Dark Per Case" dataDxfId="219" totalsRowDxfId="218" dataCellStyle="Currency"/>
    <tableColumn id="3" name="Avg. Wt. Per Serving" dataDxfId="217" totalsRowDxfId="216"/>
    <tableColumn id="4" name="Avg. Servings Per Case" dataDxfId="215" totalsRowDxfId="214" dataCellStyle="Normal_Alternate Order Forms 15-16"/>
    <tableColumn id="6" name="Finished Cases" totalsRowFunction="custom" dataDxfId="213" totalsRowDxfId="212">
      <totalsRowFormula>SUM(Table5202512[Finished Cases])</totalsRowFormula>
    </tableColumn>
    <tableColumn id="5" name="Total Servings" totalsRowFunction="custom" dataDxfId="211" totalsRowDxfId="210" dataCellStyle="Comma">
      <calculatedColumnFormula>Table5202512[[#This Row],[Avg. Servings Per Case]]*Table5202512[[#This Row],[Finished Cases]]</calculatedColumnFormula>
      <totalsRowFormula>SUM(Table5202512[Total Servings])</totalsRowFormula>
    </tableColumn>
    <tableColumn id="7" name="DF $ Value" totalsRowFunction="sum" dataDxfId="209" totalsRowDxfId="208" dataCellStyle="Currency">
      <calculatedColumnFormula>Table5202512[[#This Row],[Finished Cases]]*Table5202512[[#This Row],[DF $ Value Per Case]]</calculatedColumnFormula>
    </tableColumn>
    <tableColumn id="9" name="DF Pounds WHITE" totalsRowFunction="custom" dataDxfId="207" totalsRowDxfId="206" dataCellStyle="Comma">
      <calculatedColumnFormula>Table5202512[[#This Row],[Finished Cases]]*20.5</calculatedColumnFormula>
      <totalsRowFormula>SUM(Table5202512[DF Pounds WHITE])</totalsRowFormula>
    </tableColumn>
    <tableColumn id="13" name="DF Pounds DARK" totalsRowFunction="sum" dataDxfId="205" totalsRowDxfId="204" dataCellStyle="Comma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hite-Dark Meat Product Table"/>
    </ext>
  </extLst>
</table>
</file>

<file path=xl/tables/table9.xml><?xml version="1.0" encoding="utf-8"?>
<table xmlns="http://schemas.openxmlformats.org/spreadsheetml/2006/main" id="13" name="Table41918" displayName="Table41918" ref="C12:S29" totalsRowCount="1" headerRowDxfId="202" dataDxfId="201" totalsRowDxfId="200">
  <autoFilter ref="C12:S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sortState ref="C13:S28">
    <sortCondition ref="C12:C28"/>
  </sortState>
  <tableColumns count="17">
    <tableColumn id="1" name="Item Code" dataDxfId="199" totalsRowDxfId="198"/>
    <tableColumn id="2" name="Product Description" dataDxfId="197" totalsRowDxfId="196"/>
    <tableColumn id="5" name="Avg. Servings Per Case" dataDxfId="195" totalsRowDxfId="194" dataCellStyle="Normal_Alternate Order Forms 15-16"/>
    <tableColumn id="3" name="Cases to Add to Monthly Planner" dataDxfId="193" totalsRowDxfId="192">
      <calculatedColumnFormula>SUM(Table419[[#This Row],[Finished Cases]],Table41922[[#This Row],[Finished Cases]])-Table41918[[#This Row],[Total Cases]]</calculatedColumnFormula>
    </tableColumn>
    <tableColumn id="4" name="Jul" totalsRowFunction="sum" dataDxfId="191" totalsRowDxfId="190" dataCellStyle="Comma">
      <calculatedColumnFormula>'[1]Servings to Cases'!G13/Table41918[[#This Row],[Avg. Servings Per Case]]</calculatedColumnFormula>
    </tableColumn>
    <tableColumn id="7" name="Aug" totalsRowFunction="sum" dataDxfId="189" totalsRowDxfId="188" dataCellStyle="Comma"/>
    <tableColumn id="8" name="Sep" totalsRowFunction="sum" dataDxfId="187" totalsRowDxfId="186" dataCellStyle="Comma"/>
    <tableColumn id="9" name="Oct" totalsRowFunction="sum" dataDxfId="185" totalsRowDxfId="184" dataCellStyle="Comma"/>
    <tableColumn id="10" name="Nov" totalsRowFunction="sum" dataDxfId="183" totalsRowDxfId="182" dataCellStyle="Comma"/>
    <tableColumn id="11" name="Dec" totalsRowFunction="sum" dataDxfId="181" totalsRowDxfId="180" dataCellStyle="Comma"/>
    <tableColumn id="12" name="Jan" totalsRowFunction="sum" dataDxfId="179" totalsRowDxfId="178" dataCellStyle="Comma"/>
    <tableColumn id="16" name="Feb" totalsRowFunction="sum" dataDxfId="177" totalsRowDxfId="176" dataCellStyle="Comma"/>
    <tableColumn id="17" name="Mar" totalsRowFunction="sum" dataDxfId="175" totalsRowDxfId="174" dataCellStyle="Comma"/>
    <tableColumn id="18" name="Apr" totalsRowFunction="sum" dataDxfId="173" totalsRowDxfId="172" dataCellStyle="Comma"/>
    <tableColumn id="19" name="May" totalsRowFunction="sum" dataDxfId="171" totalsRowDxfId="170" dataCellStyle="Comma"/>
    <tableColumn id="20" name="Jun" totalsRowFunction="sum" dataDxfId="169" totalsRowDxfId="168" dataCellStyle="Comma"/>
    <tableColumn id="14" name="Total Cases" totalsRowFunction="sum" dataDxfId="167" totalsRowDxfId="166" dataCellStyle="Normal_Alternate Order Forms 15-16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hite Meat Only Product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table" Target="../tables/table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7" Type="http://schemas.openxmlformats.org/officeDocument/2006/relationships/table" Target="../tables/table18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7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3.xml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B1:AA113"/>
  <sheetViews>
    <sheetView topLeftCell="B1" zoomScale="70" zoomScaleNormal="70" workbookViewId="0">
      <selection activeCell="J14" sqref="J14"/>
    </sheetView>
  </sheetViews>
  <sheetFormatPr defaultColWidth="9.109375" defaultRowHeight="14.4" x14ac:dyDescent="0.3"/>
  <cols>
    <col min="1" max="1" width="0" hidden="1" customWidth="1"/>
    <col min="2" max="2" width="9.109375" customWidth="1"/>
    <col min="3" max="3" width="13.5546875" customWidth="1"/>
    <col min="4" max="4" width="80.6640625" customWidth="1"/>
    <col min="5" max="10" width="22.6640625" customWidth="1"/>
    <col min="11" max="13" width="22.6640625" style="1" customWidth="1"/>
    <col min="14" max="16" width="22.6640625" customWidth="1"/>
    <col min="17" max="17" width="17.6640625" customWidth="1"/>
    <col min="18" max="18" width="9.109375" customWidth="1"/>
    <col min="19" max="19" width="47.88671875" bestFit="1" customWidth="1"/>
    <col min="20" max="20" width="20" customWidth="1"/>
    <col min="21" max="21" width="21.6640625" customWidth="1"/>
    <col min="22" max="22" width="50.88671875" bestFit="1" customWidth="1"/>
    <col min="23" max="23" width="28.6640625" customWidth="1"/>
    <col min="24" max="25" width="21.6640625" customWidth="1"/>
    <col min="26" max="28" width="9.109375" customWidth="1"/>
    <col min="29" max="29" width="21.44140625" customWidth="1"/>
    <col min="30" max="33" width="9.109375" customWidth="1"/>
  </cols>
  <sheetData>
    <row r="1" spans="3:17" ht="22.5" customHeight="1" x14ac:dyDescent="0.35">
      <c r="Q1" s="5"/>
    </row>
    <row r="2" spans="3:17" ht="22.5" customHeight="1" x14ac:dyDescent="0.35">
      <c r="Q2" s="5"/>
    </row>
    <row r="3" spans="3:17" ht="22.5" customHeight="1" x14ac:dyDescent="0.35">
      <c r="E3" s="9"/>
      <c r="F3" s="7"/>
      <c r="Q3" s="5"/>
    </row>
    <row r="4" spans="3:17" ht="22.5" customHeight="1" x14ac:dyDescent="0.6">
      <c r="E4" s="8"/>
      <c r="Q4" s="5"/>
    </row>
    <row r="5" spans="3:17" ht="22.5" customHeight="1" x14ac:dyDescent="0.35">
      <c r="Q5" s="5"/>
    </row>
    <row r="6" spans="3:17" ht="22.5" customHeight="1" x14ac:dyDescent="0.35">
      <c r="Q6" s="5"/>
    </row>
    <row r="7" spans="3:17" ht="22.5" customHeight="1" x14ac:dyDescent="0.35">
      <c r="Q7" s="5"/>
    </row>
    <row r="8" spans="3:17" ht="22.5" customHeight="1" x14ac:dyDescent="0.35">
      <c r="Q8" s="5"/>
    </row>
    <row r="9" spans="3:17" ht="22.5" customHeight="1" x14ac:dyDescent="0.35">
      <c r="E9" s="23"/>
      <c r="F9" s="2"/>
      <c r="Q9" s="5"/>
    </row>
    <row r="10" spans="3:17" ht="22.5" customHeight="1" x14ac:dyDescent="0.35">
      <c r="E10" s="23"/>
      <c r="F10" s="2"/>
      <c r="Q10" s="5"/>
    </row>
    <row r="11" spans="3:17" ht="41.25" customHeight="1" x14ac:dyDescent="0.35">
      <c r="C11" s="216" t="s">
        <v>84</v>
      </c>
      <c r="D11" s="216"/>
      <c r="E11" s="216"/>
      <c r="F11" s="216"/>
      <c r="G11" s="67"/>
      <c r="H11" s="67"/>
      <c r="I11" s="68"/>
      <c r="J11" s="67"/>
      <c r="K11" s="67"/>
      <c r="L11" s="67"/>
      <c r="M11" s="24"/>
      <c r="N11" s="25"/>
      <c r="O11" s="25"/>
      <c r="P11" s="25"/>
      <c r="Q11" s="5"/>
    </row>
    <row r="12" spans="3:17" s="5" customFormat="1" ht="41.25" customHeight="1" x14ac:dyDescent="0.35">
      <c r="C12" s="56" t="s">
        <v>0</v>
      </c>
      <c r="D12" s="57" t="s">
        <v>1</v>
      </c>
      <c r="E12" s="57" t="s">
        <v>5</v>
      </c>
      <c r="F12" s="57" t="s">
        <v>9</v>
      </c>
      <c r="G12" s="57" t="s">
        <v>8</v>
      </c>
      <c r="H12" s="57" t="s">
        <v>2</v>
      </c>
      <c r="I12" s="56" t="s">
        <v>6</v>
      </c>
      <c r="J12" s="56" t="s">
        <v>12</v>
      </c>
      <c r="K12" s="56" t="s">
        <v>16</v>
      </c>
      <c r="L12" s="56" t="s">
        <v>20</v>
      </c>
      <c r="M12" s="56" t="s">
        <v>3</v>
      </c>
      <c r="N12" s="56" t="s">
        <v>7</v>
      </c>
      <c r="O12" s="56" t="s">
        <v>10</v>
      </c>
      <c r="P12" s="56" t="s">
        <v>11</v>
      </c>
    </row>
    <row r="13" spans="3:17" s="10" customFormat="1" ht="20.100000000000001" customHeight="1" x14ac:dyDescent="0.35">
      <c r="C13" s="191" t="s">
        <v>86</v>
      </c>
      <c r="D13" s="35"/>
      <c r="E13" s="35"/>
      <c r="F13" s="35"/>
      <c r="G13" s="35"/>
      <c r="H13" s="36"/>
      <c r="I13" s="37"/>
      <c r="J13" s="37"/>
      <c r="K13" s="61"/>
      <c r="L13" s="61"/>
      <c r="M13" s="39"/>
      <c r="N13" s="149">
        <f>Table419[[#This Row],[Finished Cases]]*Table419[[#This Row],[DF $ Value Per Case]]</f>
        <v>0</v>
      </c>
      <c r="O13" s="40">
        <f>Table419[[#This Row],[Finished Cases]]*20.5</f>
        <v>0</v>
      </c>
      <c r="P13" s="41"/>
      <c r="Q13" s="5"/>
    </row>
    <row r="14" spans="3:17" s="10" customFormat="1" ht="20.100000000000001" customHeight="1" x14ac:dyDescent="0.35">
      <c r="C14" s="12">
        <v>13440</v>
      </c>
      <c r="D14" s="201" t="s">
        <v>95</v>
      </c>
      <c r="E14" s="194">
        <v>28.9</v>
      </c>
      <c r="F14" s="13" t="s">
        <v>33</v>
      </c>
      <c r="G14" s="29">
        <v>0</v>
      </c>
      <c r="H14" s="14" t="s">
        <v>34</v>
      </c>
      <c r="I14" s="32">
        <v>78</v>
      </c>
      <c r="J14" s="63"/>
      <c r="K14" s="91">
        <f>MROUND(Table419[[#This Row],[Servings Needed]],78)</f>
        <v>0</v>
      </c>
      <c r="L14" s="96">
        <f>Table419[[#This Row],[Svg. Rounded by Case]]/Table419[[#This Row],[Avg. Servings Per Case]]</f>
        <v>0</v>
      </c>
      <c r="M14" s="101">
        <f>Table419[[#This Row],[Finished Cases]]*Table419[[#This Row],[Avg. Servings Per Case]]</f>
        <v>0</v>
      </c>
      <c r="N14" s="34">
        <f>Table419[[#This Row],[Finished Cases]]*Table419[[#This Row],[DF $ Value Per Case]]</f>
        <v>0</v>
      </c>
      <c r="O14" s="64">
        <f>Table419[[#This Row],[Finished Cases]]*20.5</f>
        <v>0</v>
      </c>
      <c r="P14" s="58"/>
      <c r="Q14" s="5"/>
    </row>
    <row r="15" spans="3:17" s="10" customFormat="1" ht="20.100000000000001" hidden="1" customHeight="1" x14ac:dyDescent="0.35">
      <c r="C15" s="15">
        <v>13410</v>
      </c>
      <c r="D15" s="201" t="s">
        <v>115</v>
      </c>
      <c r="E15" s="194">
        <v>28.9</v>
      </c>
      <c r="F15" s="13" t="s">
        <v>33</v>
      </c>
      <c r="G15" s="29">
        <v>0</v>
      </c>
      <c r="H15" s="14" t="s">
        <v>34</v>
      </c>
      <c r="I15" s="32">
        <v>78</v>
      </c>
      <c r="J15" s="63"/>
      <c r="K15" s="91">
        <f>MROUND(Table419[[#This Row],[Servings Needed]],78)</f>
        <v>0</v>
      </c>
      <c r="L15" s="96">
        <f>Table419[[#This Row],[Svg. Rounded by Case]]/Table419[[#This Row],[Avg. Servings Per Case]]</f>
        <v>0</v>
      </c>
      <c r="M15" s="101">
        <f>Table419[[#This Row],[Finished Cases]]*Table419[[#This Row],[Avg. Servings Per Case]]</f>
        <v>0</v>
      </c>
      <c r="N15" s="34">
        <f>Table419[[#This Row],[Finished Cases]]*Table419[[#This Row],[DF $ Value Per Case]]</f>
        <v>0</v>
      </c>
      <c r="O15" s="64">
        <f>Table419[[#This Row],[Finished Cases]]*20.5</f>
        <v>0</v>
      </c>
      <c r="P15" s="58"/>
      <c r="Q15" s="5"/>
    </row>
    <row r="16" spans="3:17" s="10" customFormat="1" ht="20.100000000000001" customHeight="1" x14ac:dyDescent="0.35">
      <c r="C16" s="15">
        <v>13443</v>
      </c>
      <c r="D16" s="201" t="s">
        <v>116</v>
      </c>
      <c r="E16" s="194">
        <v>28.9</v>
      </c>
      <c r="F16" s="13" t="s">
        <v>33</v>
      </c>
      <c r="G16" s="29">
        <v>0</v>
      </c>
      <c r="H16" s="14" t="s">
        <v>34</v>
      </c>
      <c r="I16" s="32">
        <v>78</v>
      </c>
      <c r="J16" s="63"/>
      <c r="K16" s="91">
        <f>MROUND(Table419[[#This Row],[Servings Needed]],78)</f>
        <v>0</v>
      </c>
      <c r="L16" s="96">
        <f>Table419[[#This Row],[Svg. Rounded by Case]]/Table419[[#This Row],[Avg. Servings Per Case]]</f>
        <v>0</v>
      </c>
      <c r="M16" s="101">
        <f>Table419[[#This Row],[Finished Cases]]*Table419[[#This Row],[Avg. Servings Per Case]]</f>
        <v>0</v>
      </c>
      <c r="N16" s="34">
        <f>Table419[[#This Row],[Finished Cases]]*Table419[[#This Row],[DF $ Value Per Case]]</f>
        <v>0</v>
      </c>
      <c r="O16" s="64">
        <f>Table419[[#This Row],[Finished Cases]]*20.5</f>
        <v>0</v>
      </c>
      <c r="P16" s="58"/>
      <c r="Q16" s="5"/>
    </row>
    <row r="17" spans="3:23" s="10" customFormat="1" ht="20.100000000000001" customHeight="1" x14ac:dyDescent="0.35">
      <c r="C17" s="15">
        <v>13441</v>
      </c>
      <c r="D17" s="201" t="s">
        <v>96</v>
      </c>
      <c r="E17" s="194">
        <v>28.9</v>
      </c>
      <c r="F17" s="13" t="s">
        <v>33</v>
      </c>
      <c r="G17" s="29">
        <v>0</v>
      </c>
      <c r="H17" s="16" t="s">
        <v>35</v>
      </c>
      <c r="I17" s="20">
        <v>156</v>
      </c>
      <c r="J17" s="63"/>
      <c r="K17" s="92">
        <f>MROUND(Table419[[#This Row],[Servings Needed]],156)</f>
        <v>0</v>
      </c>
      <c r="L17" s="97">
        <f>Table419[[#This Row],[Svg. Rounded by Case]]/Table419[[#This Row],[Avg. Servings Per Case]]</f>
        <v>0</v>
      </c>
      <c r="M17" s="101">
        <f>Table419[[#This Row],[Finished Cases]]*Table419[[#This Row],[Avg. Servings Per Case]]</f>
        <v>0</v>
      </c>
      <c r="N17" s="34">
        <f>Table419[[#This Row],[Finished Cases]]*Table419[[#This Row],[DF $ Value Per Case]]</f>
        <v>0</v>
      </c>
      <c r="O17" s="64">
        <f>Table419[[#This Row],[Finished Cases]]*20.5</f>
        <v>0</v>
      </c>
      <c r="P17" s="55"/>
      <c r="Q17" s="5"/>
      <c r="S17" s="75"/>
      <c r="T17" s="1"/>
      <c r="U17" s="1"/>
      <c r="V17" s="1"/>
      <c r="W17" s="1"/>
    </row>
    <row r="18" spans="3:23" s="10" customFormat="1" ht="20.100000000000001" customHeight="1" x14ac:dyDescent="0.35">
      <c r="C18" s="15">
        <v>23415</v>
      </c>
      <c r="D18" s="201" t="s">
        <v>97</v>
      </c>
      <c r="E18" s="194">
        <v>28.9</v>
      </c>
      <c r="F18" s="13" t="s">
        <v>33</v>
      </c>
      <c r="G18" s="29">
        <v>0</v>
      </c>
      <c r="H18" s="16" t="s">
        <v>37</v>
      </c>
      <c r="I18" s="20">
        <v>78</v>
      </c>
      <c r="J18" s="63"/>
      <c r="K18" s="92">
        <f>MROUND(Table419[[#This Row],[Servings Needed]],78)</f>
        <v>0</v>
      </c>
      <c r="L18" s="97">
        <f>Table419[[#This Row],[Svg. Rounded by Case]]/Table419[[#This Row],[Avg. Servings Per Case]]</f>
        <v>0</v>
      </c>
      <c r="M18" s="101">
        <f>Table419[[#This Row],[Finished Cases]]*Table419[[#This Row],[Avg. Servings Per Case]]</f>
        <v>0</v>
      </c>
      <c r="N18" s="34">
        <f>Table419[[#This Row],[Finished Cases]]*Table419[[#This Row],[DF $ Value Per Case]]</f>
        <v>0</v>
      </c>
      <c r="O18" s="64">
        <f>Table419[[#This Row],[Finished Cases]]*20.5</f>
        <v>0</v>
      </c>
      <c r="P18" s="55"/>
      <c r="Q18" s="5"/>
      <c r="S18" s="75"/>
      <c r="T18" s="1"/>
      <c r="U18" s="1"/>
      <c r="V18" s="1"/>
      <c r="W18" s="1"/>
    </row>
    <row r="19" spans="3:23" s="10" customFormat="1" ht="20.100000000000001" hidden="1" customHeight="1" x14ac:dyDescent="0.35">
      <c r="C19" s="15">
        <v>23417</v>
      </c>
      <c r="D19" s="201" t="s">
        <v>117</v>
      </c>
      <c r="E19" s="194">
        <v>28.9</v>
      </c>
      <c r="F19" s="13" t="s">
        <v>33</v>
      </c>
      <c r="G19" s="29">
        <v>0</v>
      </c>
      <c r="H19" s="16" t="s">
        <v>37</v>
      </c>
      <c r="I19" s="20">
        <v>78</v>
      </c>
      <c r="J19" s="63"/>
      <c r="K19" s="92">
        <f>MROUND(Table419[[#This Row],[Servings Needed]],78)</f>
        <v>0</v>
      </c>
      <c r="L19" s="97">
        <f>Table419[[#This Row],[Svg. Rounded by Case]]/Table419[[#This Row],[Avg. Servings Per Case]]</f>
        <v>0</v>
      </c>
      <c r="M19" s="101">
        <f>Table419[[#This Row],[Finished Cases]]*Table419[[#This Row],[Avg. Servings Per Case]]</f>
        <v>0</v>
      </c>
      <c r="N19" s="34">
        <f>Table419[[#This Row],[Finished Cases]]*Table419[[#This Row],[DF $ Value Per Case]]</f>
        <v>0</v>
      </c>
      <c r="O19" s="64">
        <f>Table419[[#This Row],[Finished Cases]]*20.5</f>
        <v>0</v>
      </c>
      <c r="P19" s="55"/>
      <c r="Q19" s="5"/>
    </row>
    <row r="20" spans="3:23" s="10" customFormat="1" ht="20.100000000000001" customHeight="1" x14ac:dyDescent="0.35">
      <c r="C20" s="17">
        <v>43424</v>
      </c>
      <c r="D20" s="201" t="s">
        <v>98</v>
      </c>
      <c r="E20" s="194">
        <v>28.9</v>
      </c>
      <c r="F20" s="13" t="s">
        <v>33</v>
      </c>
      <c r="G20" s="29">
        <v>0</v>
      </c>
      <c r="H20" s="18" t="s">
        <v>36</v>
      </c>
      <c r="I20" s="43">
        <v>78</v>
      </c>
      <c r="J20" s="63"/>
      <c r="K20" s="92">
        <f>MROUND(Table419[[#This Row],[Servings Needed]],78)</f>
        <v>0</v>
      </c>
      <c r="L20" s="97">
        <f>Table419[[#This Row],[Svg. Rounded by Case]]/Table419[[#This Row],[Avg. Servings Per Case]]</f>
        <v>0</v>
      </c>
      <c r="M20" s="101">
        <f>Table419[[#This Row],[Finished Cases]]*Table419[[#This Row],[Avg. Servings Per Case]]</f>
        <v>0</v>
      </c>
      <c r="N20" s="34">
        <f>Table419[[#This Row],[Finished Cases]]*Table419[[#This Row],[DF $ Value Per Case]]</f>
        <v>0</v>
      </c>
      <c r="O20" s="64">
        <f>Table419[[#This Row],[Finished Cases]]*20.5</f>
        <v>0</v>
      </c>
      <c r="P20" s="55"/>
      <c r="Q20" s="5"/>
    </row>
    <row r="21" spans="3:23" s="10" customFormat="1" ht="20.100000000000001" customHeight="1" x14ac:dyDescent="0.35">
      <c r="C21" s="17">
        <v>43404</v>
      </c>
      <c r="D21" s="201" t="s">
        <v>118</v>
      </c>
      <c r="E21" s="194">
        <v>28.9</v>
      </c>
      <c r="F21" s="13" t="s">
        <v>33</v>
      </c>
      <c r="G21" s="29">
        <v>0</v>
      </c>
      <c r="H21" s="18" t="s">
        <v>36</v>
      </c>
      <c r="I21" s="43">
        <v>78</v>
      </c>
      <c r="J21" s="63"/>
      <c r="K21" s="92">
        <f>MROUND(Table419[[#This Row],[Servings Needed]],78)</f>
        <v>0</v>
      </c>
      <c r="L21" s="97">
        <f>Table419[[#This Row],[Svg. Rounded by Case]]/Table419[[#This Row],[Avg. Servings Per Case]]</f>
        <v>0</v>
      </c>
      <c r="M21" s="101">
        <f>Table419[[#This Row],[Finished Cases]]*Table419[[#This Row],[Avg. Servings Per Case]]</f>
        <v>0</v>
      </c>
      <c r="N21" s="34">
        <f>Table419[[#This Row],[Finished Cases]]*Table419[[#This Row],[DF $ Value Per Case]]</f>
        <v>0</v>
      </c>
      <c r="O21" s="64">
        <f>Table419[[#This Row],[Finished Cases]]*20.5</f>
        <v>0</v>
      </c>
      <c r="P21" s="55"/>
      <c r="Q21" s="5"/>
    </row>
    <row r="22" spans="3:23" s="10" customFormat="1" ht="20.100000000000001" customHeight="1" x14ac:dyDescent="0.35">
      <c r="C22" s="191" t="s">
        <v>85</v>
      </c>
      <c r="D22" s="45"/>
      <c r="E22" s="45"/>
      <c r="F22" s="45"/>
      <c r="G22" s="45"/>
      <c r="H22" s="46"/>
      <c r="I22" s="47"/>
      <c r="J22" s="47"/>
      <c r="K22" s="62"/>
      <c r="L22" s="95"/>
      <c r="M22" s="102"/>
      <c r="N22" s="48"/>
      <c r="O22" s="48"/>
      <c r="P22" s="50"/>
      <c r="Q22" s="5"/>
    </row>
    <row r="23" spans="3:23" s="10" customFormat="1" ht="20.100000000000001" customHeight="1" x14ac:dyDescent="0.35">
      <c r="C23" s="12">
        <v>56404</v>
      </c>
      <c r="D23" s="201" t="s">
        <v>99</v>
      </c>
      <c r="E23" s="194">
        <v>37.049999999999997</v>
      </c>
      <c r="F23" s="13" t="s">
        <v>42</v>
      </c>
      <c r="G23" s="29">
        <v>0</v>
      </c>
      <c r="H23" s="14" t="s">
        <v>41</v>
      </c>
      <c r="I23" s="44">
        <v>114</v>
      </c>
      <c r="J23" s="63"/>
      <c r="K23" s="93">
        <f>MROUND(Table419[[#This Row],[Servings Needed]],114)</f>
        <v>0</v>
      </c>
      <c r="L23" s="96">
        <f>Table419[[#This Row],[Svg. Rounded by Case]]/Table419[[#This Row],[Avg. Servings Per Case]]</f>
        <v>0</v>
      </c>
      <c r="M23" s="101">
        <f>Table419[[#This Row],[Finished Cases]]*Table419[[#This Row],[Avg. Servings Per Case]]</f>
        <v>0</v>
      </c>
      <c r="N23" s="34">
        <f>Table419[[#This Row],[Finished Cases]]*Table419[[#This Row],[DF $ Value Per Case]]</f>
        <v>0</v>
      </c>
      <c r="O23" s="64">
        <f>Table419[[#This Row],[Finished Cases]]*26.28</f>
        <v>0</v>
      </c>
      <c r="P23" s="58"/>
      <c r="Q23" s="5"/>
    </row>
    <row r="24" spans="3:23" s="10" customFormat="1" ht="19.5" hidden="1" customHeight="1" x14ac:dyDescent="0.35">
      <c r="C24" s="12">
        <v>54485</v>
      </c>
      <c r="D24" s="201" t="s">
        <v>100</v>
      </c>
      <c r="E24" s="194">
        <v>28.9</v>
      </c>
      <c r="F24" s="13" t="s">
        <v>33</v>
      </c>
      <c r="G24" s="29">
        <v>0</v>
      </c>
      <c r="H24" s="14" t="s">
        <v>38</v>
      </c>
      <c r="I24" s="44">
        <v>76</v>
      </c>
      <c r="J24" s="63"/>
      <c r="K24" s="93">
        <f>MROUND(Table419[[#This Row],[Servings Needed]],76)</f>
        <v>0</v>
      </c>
      <c r="L24" s="96">
        <f>Table419[[#This Row],[Svg. Rounded by Case]]/Table419[[#This Row],[Avg. Servings Per Case]]</f>
        <v>0</v>
      </c>
      <c r="M24" s="101">
        <f>Table419[[#This Row],[Finished Cases]]*Table419[[#This Row],[Avg. Servings Per Case]]</f>
        <v>0</v>
      </c>
      <c r="N24" s="34">
        <f>Table419[[#This Row],[Finished Cases]]*Table419[[#This Row],[DF $ Value Per Case]]</f>
        <v>0</v>
      </c>
      <c r="O24" s="64">
        <f>Table419[[#This Row],[Finished Cases]]*20.5</f>
        <v>0</v>
      </c>
      <c r="P24" s="58"/>
      <c r="Q24" s="5"/>
    </row>
    <row r="25" spans="3:23" s="5" customFormat="1" ht="19.5" customHeight="1" x14ac:dyDescent="0.35">
      <c r="C25" s="15">
        <v>54486</v>
      </c>
      <c r="D25" s="201" t="s">
        <v>101</v>
      </c>
      <c r="E25" s="194">
        <v>28.9</v>
      </c>
      <c r="F25" s="13" t="s">
        <v>33</v>
      </c>
      <c r="G25" s="30">
        <v>0</v>
      </c>
      <c r="H25" s="16" t="s">
        <v>34</v>
      </c>
      <c r="I25" s="31">
        <v>78</v>
      </c>
      <c r="J25" s="63"/>
      <c r="K25" s="94">
        <f>MROUND(Table419[[#This Row],[Servings Needed]],78)</f>
        <v>0</v>
      </c>
      <c r="L25" s="97">
        <f>Table419[[#This Row],[Svg. Rounded by Case]]/Table419[[#This Row],[Avg. Servings Per Case]]</f>
        <v>0</v>
      </c>
      <c r="M25" s="101">
        <f>Table419[[#This Row],[Finished Cases]]*Table419[[#This Row],[Avg. Servings Per Case]]</f>
        <v>0</v>
      </c>
      <c r="N25" s="34">
        <f>Table419[[#This Row],[Finished Cases]]*Table419[[#This Row],[DF $ Value Per Case]]</f>
        <v>0</v>
      </c>
      <c r="O25" s="64">
        <f>Table419[[#This Row],[Finished Cases]]*20.5</f>
        <v>0</v>
      </c>
      <c r="P25" s="55"/>
    </row>
    <row r="26" spans="3:23" ht="19.5" customHeight="1" x14ac:dyDescent="0.35">
      <c r="C26" s="15">
        <v>54487</v>
      </c>
      <c r="D26" s="201" t="s">
        <v>102</v>
      </c>
      <c r="E26" s="194">
        <v>28.9</v>
      </c>
      <c r="F26" s="13" t="s">
        <v>33</v>
      </c>
      <c r="G26" s="30">
        <v>0</v>
      </c>
      <c r="H26" s="16" t="s">
        <v>39</v>
      </c>
      <c r="I26" s="31">
        <v>76</v>
      </c>
      <c r="J26" s="63"/>
      <c r="K26" s="94">
        <f>MROUND(Table419[[#This Row],[Servings Needed]],76)</f>
        <v>0</v>
      </c>
      <c r="L26" s="97">
        <f>Table419[[#This Row],[Svg. Rounded by Case]]/Table419[[#This Row],[Avg. Servings Per Case]]</f>
        <v>0</v>
      </c>
      <c r="M26" s="101">
        <f>Table419[[#This Row],[Finished Cases]]*Table419[[#This Row],[Avg. Servings Per Case]]</f>
        <v>0</v>
      </c>
      <c r="N26" s="34">
        <f>Table419[[#This Row],[Finished Cases]]*Table419[[#This Row],[DF $ Value Per Case]]</f>
        <v>0</v>
      </c>
      <c r="O26" s="64">
        <f>Table419[[#This Row],[Finished Cases]]*20.5</f>
        <v>0</v>
      </c>
      <c r="P26" s="55"/>
      <c r="Q26" s="5"/>
    </row>
    <row r="27" spans="3:23" ht="19.5" hidden="1" customHeight="1" x14ac:dyDescent="0.35">
      <c r="C27" s="15">
        <v>54496</v>
      </c>
      <c r="D27" s="201" t="s">
        <v>119</v>
      </c>
      <c r="E27" s="194">
        <v>28.9</v>
      </c>
      <c r="F27" s="13" t="s">
        <v>33</v>
      </c>
      <c r="G27" s="30">
        <v>0</v>
      </c>
      <c r="H27" s="16" t="s">
        <v>34</v>
      </c>
      <c r="I27" s="31">
        <v>78</v>
      </c>
      <c r="J27" s="63"/>
      <c r="K27" s="94">
        <f>MROUND(Table419[[#This Row],[Servings Needed]],78)</f>
        <v>0</v>
      </c>
      <c r="L27" s="97">
        <f>Table419[[#This Row],[Svg. Rounded by Case]]/Table419[[#This Row],[Avg. Servings Per Case]]</f>
        <v>0</v>
      </c>
      <c r="M27" s="101">
        <f>Table419[[#This Row],[Finished Cases]]*Table419[[#This Row],[Avg. Servings Per Case]]</f>
        <v>0</v>
      </c>
      <c r="N27" s="34">
        <f>Table419[[#This Row],[Finished Cases]]*Table419[[#This Row],[DF $ Value Per Case]]</f>
        <v>0</v>
      </c>
      <c r="O27" s="64">
        <f>Table419[[#This Row],[Finished Cases]]*20.5</f>
        <v>0</v>
      </c>
      <c r="P27" s="55"/>
      <c r="Q27" s="5"/>
    </row>
    <row r="28" spans="3:23" ht="19.5" hidden="1" customHeight="1" x14ac:dyDescent="0.35">
      <c r="C28" s="15">
        <v>54497</v>
      </c>
      <c r="D28" s="201" t="s">
        <v>120</v>
      </c>
      <c r="E28" s="194">
        <v>28.9</v>
      </c>
      <c r="F28" s="13" t="s">
        <v>33</v>
      </c>
      <c r="G28" s="30">
        <v>0</v>
      </c>
      <c r="H28" s="16" t="s">
        <v>40</v>
      </c>
      <c r="I28" s="31">
        <v>77</v>
      </c>
      <c r="J28" s="63"/>
      <c r="K28" s="94">
        <f>MROUND(Table419[[#This Row],[Servings Needed]],77)</f>
        <v>0</v>
      </c>
      <c r="L28" s="97">
        <f>Table419[[#This Row],[Svg. Rounded by Case]]/Table419[[#This Row],[Avg. Servings Per Case]]</f>
        <v>0</v>
      </c>
      <c r="M28" s="101">
        <f>Table419[[#This Row],[Finished Cases]]*Table419[[#This Row],[Avg. Servings Per Case]]</f>
        <v>0</v>
      </c>
      <c r="N28" s="34">
        <f>Table419[[#This Row],[Finished Cases]]*Table419[[#This Row],[DF $ Value Per Case]]</f>
        <v>0</v>
      </c>
      <c r="O28" s="64">
        <f>Table419[[#This Row],[Finished Cases]]*20.5</f>
        <v>0</v>
      </c>
      <c r="P28" s="55"/>
      <c r="Q28" s="5"/>
    </row>
    <row r="29" spans="3:23" ht="19.5" customHeight="1" x14ac:dyDescent="0.35">
      <c r="C29" s="113"/>
      <c r="D29" s="114"/>
      <c r="E29" s="114"/>
      <c r="F29" s="114"/>
      <c r="G29" s="114"/>
      <c r="H29" s="115"/>
      <c r="I29" s="116"/>
      <c r="J29" s="136"/>
      <c r="K29" s="153">
        <f>SUBTOTAL(109,Table419[Svg. Rounded by Case])</f>
        <v>0</v>
      </c>
      <c r="L29" s="135">
        <f>SUM(L14:L21,L23:L28)</f>
        <v>0</v>
      </c>
      <c r="M29" s="128">
        <f>SUM(Table419[Total Servings])</f>
        <v>0</v>
      </c>
      <c r="N29" s="119">
        <f>SUM(N14:N21,N23:N28)</f>
        <v>0</v>
      </c>
      <c r="O29" s="120">
        <f>SUM(O14:O21,O23:O28)</f>
        <v>0</v>
      </c>
      <c r="P29" s="121"/>
      <c r="Q29" s="5"/>
    </row>
    <row r="30" spans="3:23" ht="19.5" customHeight="1" x14ac:dyDescent="0.35">
      <c r="C30" s="113"/>
      <c r="D30" s="114"/>
      <c r="E30" s="114"/>
      <c r="F30" s="114"/>
      <c r="G30" s="114"/>
      <c r="H30" s="115"/>
      <c r="I30" s="116"/>
      <c r="J30" s="116"/>
      <c r="K30" s="116"/>
      <c r="L30" s="133"/>
      <c r="M30" s="142"/>
      <c r="N30" s="138"/>
      <c r="O30" s="139"/>
      <c r="P30" s="140"/>
      <c r="Q30" s="5"/>
    </row>
    <row r="31" spans="3:23" s="10" customFormat="1" ht="45" customHeight="1" x14ac:dyDescent="0.35">
      <c r="C31" s="77" t="s">
        <v>87</v>
      </c>
      <c r="D31" s="77"/>
      <c r="E31" s="145"/>
      <c r="F31" s="145"/>
      <c r="G31" s="80" t="s">
        <v>124</v>
      </c>
      <c r="H31" s="78" cm="1">
        <f t="array" ref="H31">Table206711[Dark Servings Rounded to nearest Case]</f>
        <v>0</v>
      </c>
      <c r="I31" s="145"/>
      <c r="J31" s="145"/>
      <c r="K31" s="80" t="s">
        <v>125</v>
      </c>
      <c r="L31" s="78">
        <f>Table204[Dark Servings Rounded to nearest Case]</f>
        <v>0</v>
      </c>
      <c r="M31" s="3"/>
      <c r="N31" s="3"/>
      <c r="O31" s="80" t="s">
        <v>123</v>
      </c>
      <c r="P31" s="78">
        <f>Table206[Dark Servings Rounded to nearest Case]</f>
        <v>0</v>
      </c>
      <c r="Q31" s="5"/>
    </row>
    <row r="32" spans="3:23" s="10" customFormat="1" ht="45" customHeight="1" x14ac:dyDescent="0.35">
      <c r="C32" s="77"/>
      <c r="D32" s="77"/>
      <c r="E32" s="145"/>
      <c r="F32" s="145"/>
      <c r="G32" s="145"/>
      <c r="H32" s="145"/>
      <c r="I32" s="145"/>
      <c r="J32" s="145"/>
      <c r="K32" s="80" t="s">
        <v>126</v>
      </c>
      <c r="L32" s="78">
        <f>Table20[Dark Servings Rounded to nearest Case]</f>
        <v>0</v>
      </c>
      <c r="M32" s="3"/>
      <c r="N32" s="3"/>
      <c r="O32" s="81" t="s">
        <v>127</v>
      </c>
      <c r="P32" s="78">
        <f>Table2067[Dark Servings Rounded to nearest Case]</f>
        <v>0</v>
      </c>
      <c r="Q32" s="5"/>
    </row>
    <row r="33" spans="3:26" ht="42" customHeight="1" x14ac:dyDescent="0.3">
      <c r="C33" s="53" t="s">
        <v>0</v>
      </c>
      <c r="D33" s="54" t="s">
        <v>1</v>
      </c>
      <c r="E33" s="54" t="s">
        <v>5</v>
      </c>
      <c r="F33" s="54" t="s">
        <v>9</v>
      </c>
      <c r="G33" s="54" t="s">
        <v>8</v>
      </c>
      <c r="H33" s="54" t="s">
        <v>2</v>
      </c>
      <c r="I33" s="53" t="s">
        <v>6</v>
      </c>
      <c r="J33" s="53" t="s">
        <v>12</v>
      </c>
      <c r="K33" s="53" t="s">
        <v>16</v>
      </c>
      <c r="L33" s="53" t="s">
        <v>20</v>
      </c>
      <c r="M33" s="53" t="s">
        <v>3</v>
      </c>
      <c r="N33" s="53" t="s">
        <v>7</v>
      </c>
      <c r="O33" s="53" t="s">
        <v>10</v>
      </c>
      <c r="P33" s="53" t="s">
        <v>11</v>
      </c>
    </row>
    <row r="34" spans="3:26" ht="20.25" customHeight="1" x14ac:dyDescent="0.3">
      <c r="C34" s="15">
        <v>81401</v>
      </c>
      <c r="D34" s="201" t="s">
        <v>103</v>
      </c>
      <c r="E34" s="86">
        <v>75.150000000000006</v>
      </c>
      <c r="F34" s="26"/>
      <c r="G34" s="19" t="s">
        <v>48</v>
      </c>
      <c r="H34" s="16" t="s">
        <v>49</v>
      </c>
      <c r="I34" s="20">
        <v>232</v>
      </c>
      <c r="J34" s="63"/>
      <c r="K34" s="91">
        <f>MROUND(Table52022[[#This Row],[Servings Needed]],232)</f>
        <v>0</v>
      </c>
      <c r="L34" s="98">
        <f>K34/I34</f>
        <v>0</v>
      </c>
      <c r="M34" s="99">
        <f>Table52022[[#This Row],[Finished Cases]]*232</f>
        <v>0</v>
      </c>
      <c r="N34" s="22">
        <f>Table52022[[#This Row],[Finished Cases]]*Table52022[[#This Row],[DF $ Value Per Case]]</f>
        <v>0</v>
      </c>
      <c r="O34" s="27"/>
      <c r="P34" s="27">
        <f>Table52022[[#This Row],[Finished Cases]]*53.3</f>
        <v>0</v>
      </c>
    </row>
    <row r="35" spans="3:26" s="5" customFormat="1" ht="20.25" customHeight="1" x14ac:dyDescent="0.35">
      <c r="C35" s="144">
        <v>94403</v>
      </c>
      <c r="D35" s="201" t="s">
        <v>104</v>
      </c>
      <c r="E35" s="86">
        <v>44.83</v>
      </c>
      <c r="F35" s="26"/>
      <c r="G35" s="90" t="s">
        <v>50</v>
      </c>
      <c r="H35" s="16" t="s">
        <v>51</v>
      </c>
      <c r="I35" s="20">
        <v>77</v>
      </c>
      <c r="J35" s="63"/>
      <c r="K35" s="91">
        <f>MROUND(Table52022[[#This Row],[Servings Needed]],77)</f>
        <v>0</v>
      </c>
      <c r="L35" s="98">
        <f>K35/I35</f>
        <v>0</v>
      </c>
      <c r="M35" s="99">
        <f>Table52022[[#This Row],[Finished Cases]]*77</f>
        <v>0</v>
      </c>
      <c r="N35" s="22">
        <f>Table52022[[#This Row],[Finished Cases]]*Table52022[[#This Row],[DF $ Value Per Case]]</f>
        <v>0</v>
      </c>
      <c r="O35" s="27"/>
      <c r="P35" s="27">
        <f>Table52022[[#This Row],[Finished Cases]]*31.8</f>
        <v>0</v>
      </c>
      <c r="R35" s="6"/>
    </row>
    <row r="36" spans="3:26" s="10" customFormat="1" ht="20.25" customHeight="1" x14ac:dyDescent="0.3">
      <c r="C36" s="15">
        <v>91401</v>
      </c>
      <c r="D36" s="201" t="s">
        <v>105</v>
      </c>
      <c r="E36" s="150">
        <v>55.37</v>
      </c>
      <c r="F36" s="26"/>
      <c r="G36" s="19" t="s">
        <v>46</v>
      </c>
      <c r="H36" s="16" t="s">
        <v>45</v>
      </c>
      <c r="I36" s="20">
        <v>123</v>
      </c>
      <c r="J36" s="63"/>
      <c r="K36" s="91">
        <f>MROUND(Table52022[[#This Row],[Servings Needed]],123)</f>
        <v>0</v>
      </c>
      <c r="L36" s="98">
        <f>K36/I36</f>
        <v>0</v>
      </c>
      <c r="M36" s="99">
        <f>Table52022[[#This Row],[Finished Cases]]*123</f>
        <v>0</v>
      </c>
      <c r="N36" s="22">
        <f>Table52022[[#This Row],[Finished Cases]]*Table52022[[#This Row],[DF $ Value Per Case]]</f>
        <v>0</v>
      </c>
      <c r="O36" s="27"/>
      <c r="P36" s="27">
        <f>Table52022[[#This Row],[Finished Cases]]*39.27</f>
        <v>0</v>
      </c>
      <c r="Q36" s="11"/>
    </row>
    <row r="37" spans="3:26" s="10" customFormat="1" ht="20.25" hidden="1" customHeight="1" x14ac:dyDescent="0.3">
      <c r="C37" s="15">
        <v>91402</v>
      </c>
      <c r="D37" s="201" t="s">
        <v>106</v>
      </c>
      <c r="E37" s="146">
        <v>54.41</v>
      </c>
      <c r="F37" s="26"/>
      <c r="G37" s="90" t="s">
        <v>47</v>
      </c>
      <c r="H37" s="16" t="s">
        <v>45</v>
      </c>
      <c r="I37" s="20">
        <v>123</v>
      </c>
      <c r="J37" s="63"/>
      <c r="K37" s="91">
        <f>MROUND(Table52022[[#This Row],[Servings Needed]],123)</f>
        <v>0</v>
      </c>
      <c r="L37" s="98">
        <f>K37/I37</f>
        <v>0</v>
      </c>
      <c r="M37" s="99">
        <f>Table52022[[#This Row],[Finished Cases]]*123</f>
        <v>0</v>
      </c>
      <c r="N37" s="22">
        <f>Table52022[[#This Row],[Finished Cases]]*Table52022[[#This Row],[DF $ Value Per Case]]</f>
        <v>0</v>
      </c>
      <c r="O37" s="27"/>
      <c r="P37" s="27">
        <f>Table52022[[#This Row],[Finished Cases]]*38.59</f>
        <v>0</v>
      </c>
      <c r="Q37" s="11"/>
    </row>
    <row r="38" spans="3:26" s="10" customFormat="1" ht="20.25" hidden="1" customHeight="1" x14ac:dyDescent="0.3">
      <c r="C38" s="15">
        <v>91409</v>
      </c>
      <c r="D38" s="201" t="s">
        <v>107</v>
      </c>
      <c r="E38" s="150">
        <v>55.37</v>
      </c>
      <c r="F38" s="26"/>
      <c r="G38" s="19" t="s">
        <v>46</v>
      </c>
      <c r="H38" s="16" t="s">
        <v>44</v>
      </c>
      <c r="I38" s="20">
        <v>123</v>
      </c>
      <c r="J38" s="63"/>
      <c r="K38" s="91">
        <f>MROUND(Table52022[[#This Row],[Servings Needed]],123)</f>
        <v>0</v>
      </c>
      <c r="L38" s="98">
        <f>Table52022[[#This Row],[Svg. Rounded by Case]]/Table52022[[#This Row],[Avg. Servings Per Case]]</f>
        <v>0</v>
      </c>
      <c r="M38" s="99">
        <f>Table52022[[#This Row],[Finished Cases]]*123</f>
        <v>0</v>
      </c>
      <c r="N38" s="22">
        <f>Table52022[[#This Row],[Finished Cases]]*Table52022[[#This Row],[DF $ Value Per Case]]</f>
        <v>0</v>
      </c>
      <c r="O38" s="27"/>
      <c r="P38" s="27">
        <f>Table52022[[#This Row],[Finished Cases]]*39.27</f>
        <v>0</v>
      </c>
    </row>
    <row r="39" spans="3:26" s="10" customFormat="1" ht="20.25" hidden="1" customHeight="1" x14ac:dyDescent="0.3">
      <c r="C39" s="15">
        <v>91410</v>
      </c>
      <c r="D39" s="201" t="s">
        <v>108</v>
      </c>
      <c r="E39" s="146">
        <v>54.41</v>
      </c>
      <c r="F39" s="26"/>
      <c r="G39" s="90" t="s">
        <v>47</v>
      </c>
      <c r="H39" s="16" t="s">
        <v>44</v>
      </c>
      <c r="I39" s="20">
        <v>123</v>
      </c>
      <c r="J39" s="63"/>
      <c r="K39" s="91">
        <f>MROUND(Table52022[[#This Row],[Servings Needed]],123)</f>
        <v>0</v>
      </c>
      <c r="L39" s="98">
        <f>Table52022[[#This Row],[Svg. Rounded by Case]]/Table52022[[#This Row],[Avg. Servings Per Case]]</f>
        <v>0</v>
      </c>
      <c r="M39" s="99">
        <f>Table52022[[#This Row],[Finished Cases]]*123</f>
        <v>0</v>
      </c>
      <c r="N39" s="22">
        <f>Table52022[[#This Row],[Finished Cases]]*Table52022[[#This Row],[DF $ Value Per Case]]</f>
        <v>0</v>
      </c>
      <c r="O39" s="27"/>
      <c r="P39" s="27">
        <f>Table52022[[#This Row],[Finished Cases]]*38.59</f>
        <v>0</v>
      </c>
    </row>
    <row r="40" spans="3:26" s="10" customFormat="1" ht="20.25" hidden="1" customHeight="1" x14ac:dyDescent="0.3">
      <c r="C40" s="15">
        <v>37101</v>
      </c>
      <c r="D40" s="201" t="s">
        <v>109</v>
      </c>
      <c r="E40" s="150">
        <v>67.150000000000006</v>
      </c>
      <c r="F40" s="26"/>
      <c r="G40" s="19" t="s">
        <v>43</v>
      </c>
      <c r="H40" s="16" t="s">
        <v>44</v>
      </c>
      <c r="I40" s="20">
        <v>123</v>
      </c>
      <c r="J40" s="154"/>
      <c r="K40" s="91">
        <f>MROUND(Table52022[[#This Row],[Servings Needed]],123)</f>
        <v>0</v>
      </c>
      <c r="L40" s="98">
        <f>Table52022[[#This Row],[Svg. Rounded by Case]]/Table52022[[#This Row],[Avg. Servings Per Case]]</f>
        <v>0</v>
      </c>
      <c r="M40" s="99">
        <f>Table52022[[#This Row],[Finished Cases]]*123</f>
        <v>0</v>
      </c>
      <c r="N40" s="22">
        <f>Table52022[[#This Row],[Finished Cases]]*Table52022[[#This Row],[DF $ Value Per Case]]</f>
        <v>0</v>
      </c>
      <c r="O40" s="27"/>
      <c r="P40" s="27">
        <f>Table52022[[#This Row],[Finished Cases]]*47.63</f>
        <v>0</v>
      </c>
      <c r="Q40" s="11"/>
    </row>
    <row r="41" spans="3:26" ht="18" x14ac:dyDescent="0.35">
      <c r="C41" s="113"/>
      <c r="D41" s="114"/>
      <c r="E41" s="114"/>
      <c r="F41" s="114"/>
      <c r="G41" s="114"/>
      <c r="H41" s="115"/>
      <c r="I41" s="116"/>
      <c r="J41" s="116"/>
      <c r="K41" s="116"/>
      <c r="L41" s="133">
        <f>SUM(Table52022[Finished Cases])</f>
        <v>0</v>
      </c>
      <c r="M41" s="128">
        <f>SUM(Table52022[Total Servings])</f>
        <v>0</v>
      </c>
      <c r="N41" s="122">
        <f>SUM(Table52022[DF $ Value])</f>
        <v>0</v>
      </c>
      <c r="O41" s="123"/>
      <c r="P41" s="123">
        <f>SUM(Table52022[DF Pounds DARK])</f>
        <v>0</v>
      </c>
    </row>
    <row r="42" spans="3:26" ht="19.5" customHeight="1" x14ac:dyDescent="0.35">
      <c r="C42" s="113"/>
      <c r="D42" s="114"/>
      <c r="E42" s="114"/>
      <c r="F42" s="114"/>
      <c r="G42" s="114"/>
      <c r="H42" s="115"/>
      <c r="I42" s="116"/>
      <c r="J42" s="116"/>
      <c r="K42" s="116"/>
      <c r="L42" s="133"/>
      <c r="M42" s="142"/>
      <c r="N42" s="143"/>
      <c r="O42" s="141"/>
      <c r="P42" s="141"/>
    </row>
    <row r="43" spans="3:26" ht="41.25" customHeight="1" x14ac:dyDescent="0.3">
      <c r="C43" s="88" t="s">
        <v>32</v>
      </c>
      <c r="D43" s="88"/>
      <c r="E43" s="88"/>
      <c r="F43" s="88"/>
      <c r="G43" s="66"/>
      <c r="H43" s="66"/>
      <c r="I43" s="69"/>
      <c r="J43" s="89"/>
      <c r="K43" s="66"/>
      <c r="L43" s="66"/>
      <c r="M43" s="28"/>
      <c r="N43" s="60"/>
      <c r="O43" s="60"/>
      <c r="P43" s="60"/>
    </row>
    <row r="44" spans="3:26" s="1" customFormat="1" ht="41.25" customHeight="1" x14ac:dyDescent="0.3">
      <c r="C44" s="51" t="s">
        <v>0</v>
      </c>
      <c r="D44" s="52" t="s">
        <v>1</v>
      </c>
      <c r="E44" s="52" t="s">
        <v>5</v>
      </c>
      <c r="F44" s="52" t="s">
        <v>9</v>
      </c>
      <c r="G44" s="52" t="s">
        <v>8</v>
      </c>
      <c r="H44" s="52" t="s">
        <v>2</v>
      </c>
      <c r="I44" s="51" t="s">
        <v>6</v>
      </c>
      <c r="J44" s="51" t="s">
        <v>12</v>
      </c>
      <c r="K44" s="51" t="s">
        <v>16</v>
      </c>
      <c r="L44" s="51" t="s">
        <v>20</v>
      </c>
      <c r="M44" s="51" t="s">
        <v>3</v>
      </c>
      <c r="N44" s="51" t="s">
        <v>7</v>
      </c>
      <c r="O44" s="51" t="s">
        <v>10</v>
      </c>
      <c r="P44" s="51" t="s">
        <v>11</v>
      </c>
    </row>
    <row r="45" spans="3:26" s="1" customFormat="1" ht="19.5" hidden="1" customHeight="1" x14ac:dyDescent="0.3">
      <c r="C45" s="15">
        <v>54409</v>
      </c>
      <c r="D45" s="201" t="s">
        <v>110</v>
      </c>
      <c r="E45" s="19">
        <v>18.91</v>
      </c>
      <c r="F45" s="19" t="s">
        <v>55</v>
      </c>
      <c r="G45" s="19" t="s">
        <v>56</v>
      </c>
      <c r="H45" s="16" t="s">
        <v>58</v>
      </c>
      <c r="I45" s="20">
        <v>107</v>
      </c>
      <c r="J45" s="63"/>
      <c r="K45" s="98">
        <f>MROUND(Table520[[#This Row],[Servings Needed]],107)</f>
        <v>0</v>
      </c>
      <c r="L45" s="98">
        <f>Table520[[#This Row],[Svg. Rounded by Case]]/Table520[[#This Row],[Avg. Servings Per Case]]</f>
        <v>0</v>
      </c>
      <c r="M45" s="99">
        <f>Table520[[#This Row],[Finished Cases]]*107</f>
        <v>0</v>
      </c>
      <c r="N45" s="22">
        <f>Table520[[#This Row],[Finished Cases]]*Table520[[#This Row],[DF $ Value Per Case]]</f>
        <v>0</v>
      </c>
      <c r="O45" s="100">
        <f>Table520[[#This Row],[Finished Cases]]*9.24</f>
        <v>0</v>
      </c>
      <c r="P45" s="100">
        <f>Table520[[#This Row],[Finished Cases]]*4.17</f>
        <v>0</v>
      </c>
    </row>
    <row r="46" spans="3:26" s="1" customFormat="1" ht="19.5" hidden="1" customHeight="1" x14ac:dyDescent="0.3">
      <c r="C46" s="15">
        <v>54410</v>
      </c>
      <c r="D46" s="201" t="s">
        <v>111</v>
      </c>
      <c r="E46" s="19">
        <v>18.91</v>
      </c>
      <c r="F46" s="19" t="s">
        <v>55</v>
      </c>
      <c r="G46" s="19" t="s">
        <v>56</v>
      </c>
      <c r="H46" s="16" t="s">
        <v>57</v>
      </c>
      <c r="I46" s="20">
        <v>107</v>
      </c>
      <c r="J46" s="63"/>
      <c r="K46" s="98">
        <f>MROUND(Table520[[#This Row],[Servings Needed]],107)</f>
        <v>0</v>
      </c>
      <c r="L46" s="98">
        <f>Table520[[#This Row],[Svg. Rounded by Case]]/Table520[[#This Row],[Avg. Servings Per Case]]</f>
        <v>0</v>
      </c>
      <c r="M46" s="99">
        <f>Table520[[#This Row],[Finished Cases]]*107</f>
        <v>0</v>
      </c>
      <c r="N46" s="22">
        <f>Table520[[#This Row],[Finished Cases]]*Table520[[#This Row],[DF $ Value Per Case]]</f>
        <v>0</v>
      </c>
      <c r="O46" s="100">
        <f>Table520[[#This Row],[Finished Cases]]*9.24</f>
        <v>0</v>
      </c>
      <c r="P46" s="100">
        <f>Table520[[#This Row],[Finished Cases]]*4.17</f>
        <v>0</v>
      </c>
    </row>
    <row r="47" spans="3:26" s="6" customFormat="1" ht="19.5" hidden="1" customHeight="1" x14ac:dyDescent="0.3">
      <c r="C47" s="15">
        <v>54411</v>
      </c>
      <c r="D47" s="201" t="s">
        <v>112</v>
      </c>
      <c r="E47" s="19">
        <v>18.91</v>
      </c>
      <c r="F47" s="19" t="s">
        <v>55</v>
      </c>
      <c r="G47" s="19" t="s">
        <v>56</v>
      </c>
      <c r="H47" s="16" t="s">
        <v>59</v>
      </c>
      <c r="I47" s="20">
        <v>214</v>
      </c>
      <c r="J47" s="63"/>
      <c r="K47" s="98">
        <f>MROUND(Table520[[#This Row],[Servings Needed]],214)</f>
        <v>0</v>
      </c>
      <c r="L47" s="98">
        <f>Table520[[#This Row],[Svg. Rounded by Case]]/Table520[[#This Row],[Avg. Servings Per Case]]</f>
        <v>0</v>
      </c>
      <c r="M47" s="99">
        <f>Table520[[#This Row],[Finished Cases]]*214</f>
        <v>0</v>
      </c>
      <c r="N47" s="22">
        <f>Table520[[#This Row],[Finished Cases]]*Table520[[#This Row],[DF $ Value Per Case]]</f>
        <v>0</v>
      </c>
      <c r="O47" s="100">
        <f>Table520[[#This Row],[Finished Cases]]*9.24</f>
        <v>0</v>
      </c>
      <c r="P47" s="100">
        <f>Table520[[#This Row],[Finished Cases]]*4.17</f>
        <v>0</v>
      </c>
    </row>
    <row r="48" spans="3:26" s="1" customFormat="1" ht="19.5" customHeight="1" x14ac:dyDescent="0.3">
      <c r="C48" s="15">
        <v>54453</v>
      </c>
      <c r="D48" s="201" t="s">
        <v>113</v>
      </c>
      <c r="E48" s="19">
        <v>18.91</v>
      </c>
      <c r="F48" s="19" t="s">
        <v>55</v>
      </c>
      <c r="G48" s="19" t="s">
        <v>56</v>
      </c>
      <c r="H48" s="16" t="s">
        <v>61</v>
      </c>
      <c r="I48" s="20">
        <v>107</v>
      </c>
      <c r="J48" s="63"/>
      <c r="K48" s="98">
        <f>MROUND(Table520[[#This Row],[Servings Needed]],107)</f>
        <v>0</v>
      </c>
      <c r="L48" s="98">
        <f>Table520[[#This Row],[Svg. Rounded by Case]]/Table520[[#This Row],[Avg. Servings Per Case]]</f>
        <v>0</v>
      </c>
      <c r="M48" s="99">
        <f>Table520[[#This Row],[Finished Cases]]*107</f>
        <v>0</v>
      </c>
      <c r="N48" s="22">
        <f>Table520[[#This Row],[Finished Cases]]*Table520[[#This Row],[DF $ Value Per Case]]</f>
        <v>0</v>
      </c>
      <c r="O48" s="100">
        <f>Table520[[#This Row],[Finished Cases]]*9.24</f>
        <v>0</v>
      </c>
      <c r="P48" s="100">
        <f>Table520[[#This Row],[Finished Cases]]*4.17</f>
        <v>0</v>
      </c>
      <c r="Y48"/>
      <c r="Z48"/>
    </row>
    <row r="49" spans="2:27" s="1" customFormat="1" ht="19.5" customHeight="1" x14ac:dyDescent="0.3">
      <c r="C49" s="15">
        <v>54463</v>
      </c>
      <c r="D49" s="201" t="s">
        <v>114</v>
      </c>
      <c r="E49" s="19">
        <v>18.91</v>
      </c>
      <c r="F49" s="19" t="s">
        <v>55</v>
      </c>
      <c r="G49" s="19" t="s">
        <v>56</v>
      </c>
      <c r="H49" s="16" t="s">
        <v>60</v>
      </c>
      <c r="I49" s="20">
        <v>107</v>
      </c>
      <c r="J49" s="63"/>
      <c r="K49" s="98">
        <f>MROUND(Table520[[#This Row],[Servings Needed]],107)</f>
        <v>0</v>
      </c>
      <c r="L49" s="98">
        <f>Table520[[#This Row],[Svg. Rounded by Case]]/Table520[[#This Row],[Avg. Servings Per Case]]</f>
        <v>0</v>
      </c>
      <c r="M49" s="99">
        <f>Table520[[#This Row],[Finished Cases]]*107</f>
        <v>0</v>
      </c>
      <c r="N49" s="22">
        <f>Table520[[#This Row],[Finished Cases]]*Table520[[#This Row],[DF $ Value Per Case]]</f>
        <v>0</v>
      </c>
      <c r="O49" s="100">
        <f>Table520[[#This Row],[Finished Cases]]*9.24</f>
        <v>0</v>
      </c>
      <c r="P49" s="100">
        <f>Table520[[#This Row],[Finished Cases]]*4.17</f>
        <v>0</v>
      </c>
      <c r="Y49"/>
    </row>
    <row r="50" spans="2:27" s="1" customFormat="1" ht="19.5" hidden="1" customHeight="1" x14ac:dyDescent="0.3">
      <c r="C50" s="15">
        <v>54464</v>
      </c>
      <c r="D50" s="201" t="s">
        <v>121</v>
      </c>
      <c r="E50" s="19">
        <v>18.91</v>
      </c>
      <c r="F50" s="19" t="s">
        <v>55</v>
      </c>
      <c r="G50" s="19" t="s">
        <v>56</v>
      </c>
      <c r="H50" s="16" t="s">
        <v>60</v>
      </c>
      <c r="I50" s="20">
        <v>107</v>
      </c>
      <c r="J50" s="63"/>
      <c r="K50" s="98">
        <f>MROUND(Table520[[#This Row],[Servings Needed]],107)</f>
        <v>0</v>
      </c>
      <c r="L50" s="98">
        <f>Table520[[#This Row],[Svg. Rounded by Case]]/Table520[[#This Row],[Avg. Servings Per Case]]</f>
        <v>0</v>
      </c>
      <c r="M50" s="99">
        <f>Table520[[#This Row],[Finished Cases]]*107</f>
        <v>0</v>
      </c>
      <c r="N50" s="22">
        <f>Table520[[#This Row],[Finished Cases]]*Table520[[#This Row],[DF $ Value Per Case]]</f>
        <v>0</v>
      </c>
      <c r="O50" s="100">
        <f>Table520[[#This Row],[Finished Cases]]*9.24</f>
        <v>0</v>
      </c>
      <c r="P50" s="100">
        <f>Table520[[#This Row],[Finished Cases]]*4.17</f>
        <v>0</v>
      </c>
      <c r="Y50"/>
    </row>
    <row r="51" spans="2:27" s="1" customFormat="1" ht="18" x14ac:dyDescent="0.35">
      <c r="C51" s="113"/>
      <c r="D51" s="114"/>
      <c r="E51" s="114"/>
      <c r="F51" s="114"/>
      <c r="G51" s="114"/>
      <c r="H51" s="115"/>
      <c r="I51" s="116"/>
      <c r="J51" s="116"/>
      <c r="K51" s="129"/>
      <c r="L51" s="130">
        <f>SUM(Table520[Finished Cases])</f>
        <v>0</v>
      </c>
      <c r="M51" s="131">
        <f>SUM(Table520[Total Servings])</f>
        <v>0</v>
      </c>
      <c r="N51" s="126">
        <f>SUBTOTAL(109,Table520[DF $ Value])</f>
        <v>0</v>
      </c>
      <c r="O51" s="132">
        <f>SUM(Table520[DF Pounds WHITE])</f>
        <v>0</v>
      </c>
      <c r="P51" s="132">
        <f>SUM(Table520[DF Pounds DARK])</f>
        <v>0</v>
      </c>
      <c r="Y51"/>
    </row>
    <row r="52" spans="2:27" s="1" customFormat="1" ht="18" x14ac:dyDescent="0.35">
      <c r="C52" s="113"/>
      <c r="D52" s="114"/>
      <c r="E52" s="114"/>
      <c r="F52" s="114"/>
      <c r="G52" s="114"/>
      <c r="H52" s="115"/>
      <c r="I52" s="116"/>
      <c r="J52" s="116"/>
      <c r="K52" s="129"/>
      <c r="L52" s="130"/>
      <c r="M52" s="184"/>
      <c r="N52" s="143"/>
      <c r="O52" s="185"/>
      <c r="P52" s="185"/>
      <c r="Y52"/>
    </row>
    <row r="53" spans="2:27" s="1" customFormat="1" ht="41.25" hidden="1" customHeight="1" x14ac:dyDescent="0.35">
      <c r="C53" s="208" t="s">
        <v>88</v>
      </c>
      <c r="D53" s="174"/>
      <c r="E53" s="174"/>
      <c r="F53" s="174"/>
      <c r="G53" s="174"/>
      <c r="H53" s="175"/>
      <c r="I53" s="176"/>
      <c r="J53" s="177"/>
      <c r="K53" s="178"/>
      <c r="L53" s="179"/>
      <c r="M53" s="180"/>
      <c r="N53" s="180"/>
      <c r="O53" s="188"/>
      <c r="P53" s="190"/>
      <c r="Y53"/>
    </row>
    <row r="54" spans="2:27" s="1" customFormat="1" ht="41.25" hidden="1" customHeight="1" x14ac:dyDescent="0.35">
      <c r="C54" s="181" t="s">
        <v>0</v>
      </c>
      <c r="D54" s="182" t="s">
        <v>1</v>
      </c>
      <c r="E54" s="182" t="s">
        <v>5</v>
      </c>
      <c r="F54" s="182" t="s">
        <v>9</v>
      </c>
      <c r="G54" s="182" t="s">
        <v>8</v>
      </c>
      <c r="H54" s="182" t="s">
        <v>2</v>
      </c>
      <c r="I54" s="181" t="s">
        <v>6</v>
      </c>
      <c r="J54" s="181" t="s">
        <v>12</v>
      </c>
      <c r="K54" s="183" t="s">
        <v>16</v>
      </c>
      <c r="L54" s="183" t="s">
        <v>20</v>
      </c>
      <c r="M54" s="183" t="s">
        <v>3</v>
      </c>
      <c r="N54" s="183" t="s">
        <v>7</v>
      </c>
      <c r="O54" s="181" t="s">
        <v>10</v>
      </c>
      <c r="P54" s="181" t="s">
        <v>11</v>
      </c>
      <c r="Q54" s="185"/>
      <c r="R54" s="185"/>
      <c r="AA54"/>
    </row>
    <row r="55" spans="2:27" s="1" customFormat="1" ht="18" hidden="1" x14ac:dyDescent="0.35">
      <c r="C55" s="15">
        <v>13424</v>
      </c>
      <c r="D55" s="201" t="s">
        <v>89</v>
      </c>
      <c r="E55" s="194">
        <v>28.9</v>
      </c>
      <c r="F55" s="13" t="s">
        <v>33</v>
      </c>
      <c r="G55" s="19"/>
      <c r="H55" s="14" t="s">
        <v>34</v>
      </c>
      <c r="I55" s="20">
        <v>78</v>
      </c>
      <c r="J55" s="73"/>
      <c r="K55" s="186">
        <f>MROUND(Table520251213[[#This Row],[Servings Needed]],78)</f>
        <v>0</v>
      </c>
      <c r="L55" s="98">
        <f>Table520251213[[#This Row],[Svg. Rounded by Case]]/Table520251213[[#This Row],[Avg. Servings Per Case]]</f>
        <v>0</v>
      </c>
      <c r="M55" s="21">
        <f>Table520251213[[#This Row],[Finished Cases]]*78</f>
        <v>0</v>
      </c>
      <c r="N55" s="22">
        <f>Table520251213[[#This Row],[Finished Cases]]*Table520251213[[#This Row],[DF $ Value Per Case]]</f>
        <v>0</v>
      </c>
      <c r="O55" s="27">
        <f>Table520251213[[#This Row],[Finished Cases]]*20.5</f>
        <v>0</v>
      </c>
      <c r="P55" s="27"/>
      <c r="Q55" s="185"/>
      <c r="R55" s="185"/>
      <c r="AA55"/>
    </row>
    <row r="56" spans="2:27" s="1" customFormat="1" ht="18" hidden="1" x14ac:dyDescent="0.35">
      <c r="C56" s="15">
        <v>13445</v>
      </c>
      <c r="D56" s="192" t="s">
        <v>122</v>
      </c>
      <c r="E56" s="194">
        <v>28.9</v>
      </c>
      <c r="F56" s="13" t="s">
        <v>33</v>
      </c>
      <c r="G56" s="19"/>
      <c r="H56" s="14" t="s">
        <v>34</v>
      </c>
      <c r="I56" s="20">
        <v>78</v>
      </c>
      <c r="J56" s="73"/>
      <c r="K56" s="186">
        <f>MROUND(Table520251213[[#This Row],[Servings Needed]],78)</f>
        <v>0</v>
      </c>
      <c r="L56" s="186">
        <f>Table520251213[[#This Row],[Svg. Rounded by Case]]/Table520251213[[#This Row],[Avg. Servings Per Case]]</f>
        <v>0</v>
      </c>
      <c r="M56" s="21">
        <f>Table520251213[[#This Row],[Finished Cases]]*78</f>
        <v>0</v>
      </c>
      <c r="N56" s="22">
        <f>Table520251213[[#This Row],[Finished Cases]]*Table520251213[[#This Row],[DF $ Value Per Case]]</f>
        <v>0</v>
      </c>
      <c r="O56" s="27">
        <f>Table520251213[[#This Row],[Finished Cases]]*20.5</f>
        <v>0</v>
      </c>
      <c r="P56" s="27"/>
      <c r="Q56" s="185"/>
      <c r="R56" s="185"/>
      <c r="AA56"/>
    </row>
    <row r="57" spans="2:27" s="1" customFormat="1" ht="18" hidden="1" x14ac:dyDescent="0.35">
      <c r="C57" s="15">
        <v>13429</v>
      </c>
      <c r="D57" s="192" t="s">
        <v>90</v>
      </c>
      <c r="E57" s="194">
        <v>28.9</v>
      </c>
      <c r="F57" s="13" t="s">
        <v>33</v>
      </c>
      <c r="G57" s="19"/>
      <c r="H57" s="16" t="s">
        <v>35</v>
      </c>
      <c r="I57" s="20">
        <v>156</v>
      </c>
      <c r="J57" s="73"/>
      <c r="K57" s="186">
        <f>MROUND(Table520251213[[#This Row],[Servings Needed]],156)</f>
        <v>0</v>
      </c>
      <c r="L57" s="186">
        <f>Table520251213[[#This Row],[Svg. Rounded by Case]]/Table520251213[[#This Row],[Avg. Servings Per Case]]</f>
        <v>0</v>
      </c>
      <c r="M57" s="21">
        <f>Table520251213[[#This Row],[Finished Cases]]*156</f>
        <v>0</v>
      </c>
      <c r="N57" s="22">
        <f>Table520251213[[#This Row],[Finished Cases]]*Table520251213[[#This Row],[DF $ Value Per Case]]</f>
        <v>0</v>
      </c>
      <c r="O57" s="27">
        <f>Table520251213[[#This Row],[Finished Cases]]*20.5</f>
        <v>0</v>
      </c>
      <c r="P57" s="27"/>
      <c r="Q57" s="185"/>
      <c r="R57" s="185"/>
      <c r="AA57"/>
    </row>
    <row r="58" spans="2:27" s="1" customFormat="1" ht="18" hidden="1" x14ac:dyDescent="0.35">
      <c r="C58" s="15">
        <v>23409</v>
      </c>
      <c r="D58" s="192" t="s">
        <v>91</v>
      </c>
      <c r="E58" s="194">
        <v>28.9</v>
      </c>
      <c r="F58" s="13" t="s">
        <v>33</v>
      </c>
      <c r="G58" s="19"/>
      <c r="H58" s="16" t="s">
        <v>37</v>
      </c>
      <c r="I58" s="20">
        <v>78</v>
      </c>
      <c r="J58" s="73"/>
      <c r="K58" s="186">
        <f>MROUND(Table520251213[[#This Row],[Servings Needed]],78)</f>
        <v>0</v>
      </c>
      <c r="L58" s="186">
        <f>Table520251213[[#This Row],[Svg. Rounded by Case]]/Table520251213[[#This Row],[Avg. Servings Per Case]]</f>
        <v>0</v>
      </c>
      <c r="M58" s="21">
        <f>Table520251213[[#This Row],[Finished Cases]]*78</f>
        <v>0</v>
      </c>
      <c r="N58" s="22">
        <f>Table520251213[[#This Row],[Finished Cases]]*Table520251213[[#This Row],[DF $ Value Per Case]]</f>
        <v>0</v>
      </c>
      <c r="O58" s="27">
        <f>Table520251213[[#This Row],[Finished Cases]]*20.5</f>
        <v>0</v>
      </c>
      <c r="P58" s="27"/>
      <c r="Q58" s="185"/>
      <c r="R58" s="185"/>
      <c r="AA58"/>
    </row>
    <row r="59" spans="2:27" s="1" customFormat="1" ht="18" hidden="1" x14ac:dyDescent="0.35">
      <c r="C59" s="15">
        <v>43415</v>
      </c>
      <c r="D59" s="192" t="s">
        <v>92</v>
      </c>
      <c r="E59" s="194">
        <v>28.9</v>
      </c>
      <c r="F59" s="13" t="s">
        <v>33</v>
      </c>
      <c r="G59" s="19"/>
      <c r="H59" s="14" t="s">
        <v>34</v>
      </c>
      <c r="I59" s="20">
        <v>78</v>
      </c>
      <c r="J59" s="73"/>
      <c r="K59" s="186">
        <f>MROUND(Table520251213[[#This Row],[Servings Needed]],78)</f>
        <v>0</v>
      </c>
      <c r="L59" s="186">
        <f>Table520251213[[#This Row],[Svg. Rounded by Case]]/Table520251213[[#This Row],[Avg. Servings Per Case]]</f>
        <v>0</v>
      </c>
      <c r="M59" s="21">
        <f>Table520251213[[#This Row],[Finished Cases]]*78</f>
        <v>0</v>
      </c>
      <c r="N59" s="22">
        <f>Table520251213[[#This Row],[Finished Cases]]*Table520251213[[#This Row],[DF $ Value Per Case]]</f>
        <v>0</v>
      </c>
      <c r="O59" s="27">
        <f>Table520251213[[#This Row],[Finished Cases]]*20.5</f>
        <v>0</v>
      </c>
      <c r="P59" s="27"/>
      <c r="Q59" s="185"/>
      <c r="R59" s="185"/>
      <c r="AA59"/>
    </row>
    <row r="60" spans="2:27" ht="15" hidden="1" customHeight="1" x14ac:dyDescent="0.35">
      <c r="C60" s="113"/>
      <c r="D60" s="114"/>
      <c r="E60" s="114"/>
      <c r="F60" s="114"/>
      <c r="G60" s="114"/>
      <c r="H60" s="115"/>
      <c r="I60" s="116"/>
      <c r="J60" s="124">
        <f>SUM(Table520251213[Servings Needed])</f>
        <v>0</v>
      </c>
      <c r="K60" s="124"/>
      <c r="L60" s="124"/>
      <c r="M60" s="125">
        <f>SUM(Table520251213[Total Servings])</f>
        <v>0</v>
      </c>
      <c r="N60" s="126">
        <f>SUBTOTAL(109,Table520251213[DF $ Value])</f>
        <v>0</v>
      </c>
      <c r="O60" s="127">
        <f>SUM(Table520251213[DF Pounds WHITE])</f>
        <v>0</v>
      </c>
      <c r="P60" s="127">
        <f>SUBTOTAL(109,Table520251213[DF Pounds DARK])</f>
        <v>0</v>
      </c>
      <c r="Q60" s="1"/>
    </row>
    <row r="61" spans="2:27" ht="15" thickBot="1" x14ac:dyDescent="0.35">
      <c r="C61" s="1"/>
      <c r="D61" s="1"/>
      <c r="E61" s="1"/>
      <c r="F61" s="1"/>
      <c r="G61" s="1"/>
      <c r="H61" s="1"/>
      <c r="I61" s="1"/>
      <c r="J61" s="1"/>
      <c r="N61" s="1"/>
      <c r="O61" s="1"/>
      <c r="P61" s="1"/>
      <c r="Q61" s="1"/>
    </row>
    <row r="62" spans="2:27" ht="37.5" customHeight="1" x14ac:dyDescent="0.3">
      <c r="B62" s="155"/>
      <c r="C62" s="156" t="s">
        <v>128</v>
      </c>
      <c r="D62" s="157"/>
      <c r="E62" s="157"/>
      <c r="F62" s="157"/>
      <c r="G62" s="157"/>
      <c r="H62" s="158"/>
      <c r="I62" s="1"/>
      <c r="J62" s="1"/>
      <c r="N62" s="1"/>
      <c r="O62" s="1"/>
      <c r="P62" s="1"/>
      <c r="Q62" s="1"/>
    </row>
    <row r="63" spans="2:27" ht="37.5" customHeight="1" thickBot="1" x14ac:dyDescent="0.55000000000000004">
      <c r="B63" s="159"/>
      <c r="C63" s="160" t="s">
        <v>62</v>
      </c>
      <c r="D63" s="169"/>
      <c r="E63" s="162"/>
      <c r="F63" s="162"/>
      <c r="G63" s="162"/>
      <c r="H63" s="163"/>
      <c r="I63" s="1"/>
      <c r="J63" s="1"/>
      <c r="N63" s="1"/>
      <c r="O63" s="1"/>
      <c r="P63" s="1"/>
      <c r="Q63" s="1"/>
    </row>
    <row r="64" spans="2:27" ht="37.5" customHeight="1" thickBot="1" x14ac:dyDescent="0.55000000000000004">
      <c r="B64" s="159"/>
      <c r="C64" s="160" t="s">
        <v>63</v>
      </c>
      <c r="D64" s="170"/>
      <c r="E64" s="162"/>
      <c r="F64" s="162"/>
      <c r="G64" s="162"/>
      <c r="H64" s="163"/>
      <c r="I64" s="1"/>
      <c r="J64" s="1"/>
      <c r="N64" s="1"/>
      <c r="O64" s="1"/>
      <c r="P64" s="1"/>
      <c r="Q64" s="1"/>
    </row>
    <row r="65" spans="2:17" ht="37.5" customHeight="1" thickBot="1" x14ac:dyDescent="0.55000000000000004">
      <c r="B65" s="159"/>
      <c r="C65" s="160" t="s">
        <v>64</v>
      </c>
      <c r="D65" s="170"/>
      <c r="E65" s="160" t="s">
        <v>65</v>
      </c>
      <c r="F65" s="169"/>
      <c r="G65" s="160" t="s">
        <v>66</v>
      </c>
      <c r="H65" s="171"/>
      <c r="I65" s="1"/>
      <c r="J65" s="1"/>
      <c r="N65" s="1"/>
      <c r="O65" s="1"/>
      <c r="P65" s="1"/>
      <c r="Q65" s="1"/>
    </row>
    <row r="66" spans="2:17" ht="37.5" customHeight="1" thickBot="1" x14ac:dyDescent="0.55000000000000004">
      <c r="B66" s="165"/>
      <c r="C66" s="166" t="s">
        <v>67</v>
      </c>
      <c r="D66" s="170"/>
      <c r="E66" s="166" t="s">
        <v>68</v>
      </c>
      <c r="F66" s="169"/>
      <c r="G66" s="161"/>
      <c r="H66" s="164"/>
      <c r="I66" s="1"/>
      <c r="J66" s="1"/>
      <c r="N66" s="1"/>
      <c r="O66" s="1"/>
      <c r="P66" s="1"/>
    </row>
    <row r="67" spans="2:17" ht="15" customHeight="1" x14ac:dyDescent="0.3">
      <c r="C67" s="1"/>
      <c r="D67" s="1"/>
      <c r="E67" s="1"/>
      <c r="F67" s="1"/>
      <c r="G67" s="1"/>
      <c r="H67" s="1"/>
      <c r="I67" s="1"/>
      <c r="J67" s="1"/>
      <c r="N67" s="1"/>
      <c r="O67" s="1"/>
      <c r="P67" s="1"/>
    </row>
    <row r="68" spans="2:17" ht="15" customHeight="1" x14ac:dyDescent="0.3">
      <c r="C68" s="1"/>
      <c r="D68" s="1"/>
      <c r="E68" s="1"/>
      <c r="F68" s="1"/>
      <c r="G68" s="1"/>
      <c r="H68" s="1"/>
      <c r="I68" s="1"/>
      <c r="J68" s="1"/>
      <c r="N68" s="1"/>
      <c r="O68" s="1"/>
      <c r="P68" s="1"/>
    </row>
    <row r="69" spans="2:17" ht="15" customHeight="1" x14ac:dyDescent="0.3">
      <c r="C69" s="1"/>
      <c r="D69" s="1"/>
      <c r="E69" s="1"/>
      <c r="F69" s="1"/>
      <c r="G69" s="1"/>
      <c r="H69" s="1"/>
      <c r="I69" s="1"/>
      <c r="J69" s="1"/>
      <c r="N69" s="1"/>
      <c r="O69" s="1"/>
      <c r="P69" s="1"/>
    </row>
    <row r="70" spans="2:17" ht="15" customHeight="1" x14ac:dyDescent="0.3">
      <c r="C70" s="1"/>
      <c r="D70" s="1"/>
      <c r="E70" s="1"/>
      <c r="F70" s="1"/>
      <c r="G70" s="1"/>
      <c r="H70" s="1"/>
      <c r="I70" s="1"/>
      <c r="J70" s="1"/>
      <c r="N70" s="1"/>
      <c r="O70" s="1"/>
      <c r="P70" s="1"/>
    </row>
    <row r="71" spans="2:17" ht="15" customHeight="1" x14ac:dyDescent="0.3">
      <c r="C71" s="1"/>
      <c r="D71" s="1"/>
      <c r="E71" s="1"/>
      <c r="F71" s="1"/>
      <c r="G71" s="1"/>
      <c r="H71" s="1"/>
      <c r="I71" s="1"/>
      <c r="J71" s="1"/>
      <c r="N71" s="1"/>
      <c r="O71" s="1"/>
      <c r="P71" s="1"/>
    </row>
    <row r="72" spans="2:17" ht="15" customHeight="1" x14ac:dyDescent="0.3">
      <c r="C72" s="1"/>
      <c r="D72" s="1"/>
      <c r="E72" s="1"/>
      <c r="F72" s="1"/>
      <c r="G72" s="1"/>
      <c r="H72" s="1"/>
      <c r="I72" s="1"/>
      <c r="J72" s="1"/>
      <c r="N72" s="1"/>
      <c r="O72" s="1"/>
      <c r="P72" s="1"/>
    </row>
    <row r="73" spans="2:17" ht="15" customHeight="1" x14ac:dyDescent="0.3">
      <c r="C73" s="4"/>
      <c r="D73" s="1"/>
      <c r="E73" s="1"/>
      <c r="F73" s="1"/>
      <c r="G73" s="1"/>
      <c r="H73" s="1"/>
      <c r="I73" s="1"/>
      <c r="J73" s="1"/>
      <c r="N73" s="1"/>
      <c r="O73" s="1"/>
      <c r="P73" s="1"/>
    </row>
    <row r="74" spans="2:17" ht="15" customHeight="1" x14ac:dyDescent="0.3"/>
    <row r="75" spans="2:17" ht="15" customHeight="1" x14ac:dyDescent="0.3"/>
    <row r="76" spans="2:17" ht="15" customHeight="1" x14ac:dyDescent="0.3"/>
    <row r="77" spans="2:17" ht="15" customHeight="1" x14ac:dyDescent="0.3"/>
    <row r="78" spans="2:17" ht="15" customHeight="1" x14ac:dyDescent="0.3">
      <c r="L78"/>
      <c r="M78"/>
    </row>
    <row r="79" spans="2:17" ht="15" customHeight="1" x14ac:dyDescent="0.3">
      <c r="L79"/>
      <c r="M79"/>
    </row>
    <row r="80" spans="2:17" ht="15" customHeight="1" x14ac:dyDescent="0.3"/>
    <row r="81" spans="11:13" ht="15" customHeight="1" x14ac:dyDescent="0.3"/>
    <row r="82" spans="11:13" ht="15" customHeight="1" x14ac:dyDescent="0.3"/>
    <row r="83" spans="11:13" ht="15" customHeight="1" x14ac:dyDescent="0.3"/>
    <row r="84" spans="11:13" ht="15" customHeight="1" x14ac:dyDescent="0.3"/>
    <row r="85" spans="11:13" ht="15" customHeight="1" x14ac:dyDescent="0.3"/>
    <row r="86" spans="11:13" ht="15" customHeight="1" x14ac:dyDescent="0.3"/>
    <row r="87" spans="11:13" ht="15" customHeight="1" x14ac:dyDescent="0.3"/>
    <row r="88" spans="11:13" ht="15" customHeight="1" x14ac:dyDescent="0.3">
      <c r="K88"/>
      <c r="L88"/>
      <c r="M88"/>
    </row>
    <row r="89" spans="11:13" ht="15" customHeight="1" x14ac:dyDescent="0.3">
      <c r="K89"/>
      <c r="L89"/>
      <c r="M89"/>
    </row>
    <row r="90" spans="11:13" ht="15" customHeight="1" x14ac:dyDescent="0.3">
      <c r="K90"/>
      <c r="L90"/>
      <c r="M90"/>
    </row>
    <row r="91" spans="11:13" ht="15" customHeight="1" x14ac:dyDescent="0.3">
      <c r="K91"/>
      <c r="L91"/>
      <c r="M91"/>
    </row>
    <row r="92" spans="11:13" ht="15" customHeight="1" x14ac:dyDescent="0.3">
      <c r="K92"/>
      <c r="L92"/>
      <c r="M92"/>
    </row>
    <row r="93" spans="11:13" ht="15" customHeight="1" x14ac:dyDescent="0.3">
      <c r="K93"/>
      <c r="L93"/>
      <c r="M93"/>
    </row>
    <row r="94" spans="11:13" ht="15" customHeight="1" x14ac:dyDescent="0.3">
      <c r="K94"/>
      <c r="L94"/>
      <c r="M94"/>
    </row>
    <row r="95" spans="11:13" ht="15" customHeight="1" x14ac:dyDescent="0.3">
      <c r="K95"/>
      <c r="L95"/>
      <c r="M95"/>
    </row>
    <row r="96" spans="11:13" ht="15" customHeight="1" x14ac:dyDescent="0.3">
      <c r="K96"/>
      <c r="L96"/>
      <c r="M96"/>
    </row>
    <row r="97" customFormat="1" ht="15" customHeight="1" x14ac:dyDescent="0.3"/>
    <row r="98" customFormat="1" ht="15" customHeight="1" x14ac:dyDescent="0.3"/>
    <row r="99" customFormat="1" ht="15" customHeight="1" x14ac:dyDescent="0.3"/>
    <row r="100" customFormat="1" ht="15" customHeight="1" x14ac:dyDescent="0.3"/>
    <row r="101" customFormat="1" ht="15" customHeight="1" x14ac:dyDescent="0.3"/>
    <row r="102" customFormat="1" ht="15" customHeight="1" x14ac:dyDescent="0.3"/>
    <row r="103" customFormat="1" ht="15" customHeight="1" x14ac:dyDescent="0.3"/>
    <row r="104" customFormat="1" ht="15" customHeight="1" x14ac:dyDescent="0.3"/>
    <row r="105" customFormat="1" ht="15" customHeight="1" x14ac:dyDescent="0.3"/>
    <row r="106" customFormat="1" ht="15" customHeight="1" x14ac:dyDescent="0.3"/>
    <row r="107" customFormat="1" ht="15" customHeight="1" x14ac:dyDescent="0.3"/>
    <row r="108" customFormat="1" ht="15" customHeight="1" x14ac:dyDescent="0.3"/>
    <row r="109" customFormat="1" ht="15" customHeight="1" x14ac:dyDescent="0.3"/>
    <row r="110" customFormat="1" ht="15" customHeight="1" x14ac:dyDescent="0.3"/>
    <row r="111" customFormat="1" ht="15" customHeight="1" x14ac:dyDescent="0.3"/>
    <row r="112" customFormat="1" x14ac:dyDescent="0.3"/>
    <row r="113" customFormat="1" x14ac:dyDescent="0.3"/>
  </sheetData>
  <sheetProtection algorithmName="SHA-512" hashValue="F5f57zCWQOyuDvyBwWt0uv+GpeWMpR9IFwgY7wCD0USILYJ6tqm4DP/c4PiWr9PJ2noHmKlzgdJhdrH9Uq8E2Q==" saltValue="EEFMj9SySKypQpqIvp75vA==" spinCount="100000" sheet="1" objects="1" scenarios="1" selectLockedCells="1"/>
  <phoneticPr fontId="36" type="noConversion"/>
  <conditionalFormatting sqref="J55:K55 J57:L59">
    <cfRule type="expression" dxfId="453" priority="1">
      <formula>$M$43&lt;-0.5</formula>
    </cfRule>
  </conditionalFormatting>
  <printOptions horizontalCentered="1"/>
  <pageMargins left="0" right="0" top="0" bottom="0" header="0" footer="0"/>
  <pageSetup scale="37" fitToHeight="0" orientation="landscape" horizontalDpi="4294967295" verticalDpi="4294967295" r:id="rId1"/>
  <colBreaks count="1" manualBreakCount="1">
    <brk id="8" max="1048575" man="1"/>
  </colBreaks>
  <ignoredErrors>
    <ignoredError sqref="L34 M24:M28 K14:K16 M15:M21 K23:K28 K47 M23 M14 M22 K17:K21 O23 L35:L37 K34:K40 M57" calculatedColumn="1"/>
    <ignoredError sqref="M47 P37:P38" formula="1"/>
    <ignoredError sqref="K55:K56 L56 L57:L59 K58:K59" unlockedFormula="1"/>
    <ignoredError sqref="K57" unlockedFormula="1" calculatedColumn="1"/>
  </ignoredErrors>
  <drawing r:id="rId2"/>
  <legacyDrawing r:id="rId3"/>
  <tableParts count="4"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B1:Z144"/>
  <sheetViews>
    <sheetView tabSelected="1" topLeftCell="B11" zoomScale="70" zoomScaleNormal="70" workbookViewId="0">
      <selection activeCell="J14" sqref="J14"/>
    </sheetView>
  </sheetViews>
  <sheetFormatPr defaultColWidth="9.109375" defaultRowHeight="14.4" x14ac:dyDescent="0.3"/>
  <cols>
    <col min="1" max="1" width="0" hidden="1" customWidth="1"/>
    <col min="2" max="2" width="9.109375" customWidth="1"/>
    <col min="3" max="3" width="13.5546875" customWidth="1"/>
    <col min="4" max="4" width="80.6640625" bestFit="1" customWidth="1"/>
    <col min="5" max="9" width="22.6640625" customWidth="1"/>
    <col min="10" max="10" width="20" customWidth="1"/>
    <col min="11" max="13" width="22.6640625" style="1" customWidth="1"/>
    <col min="14" max="14" width="22.6640625" customWidth="1"/>
    <col min="15" max="17" width="17.6640625" customWidth="1"/>
    <col min="18" max="18" width="16.44140625" bestFit="1" customWidth="1"/>
    <col min="19" max="19" width="14.44140625" customWidth="1"/>
    <col min="20" max="20" width="20" customWidth="1"/>
    <col min="21" max="22" width="21.6640625" customWidth="1"/>
    <col min="23" max="23" width="25.6640625" bestFit="1" customWidth="1"/>
    <col min="24" max="25" width="21.6640625" customWidth="1"/>
    <col min="26" max="28" width="9.109375" customWidth="1"/>
    <col min="29" max="29" width="21.44140625" customWidth="1"/>
    <col min="30" max="33" width="9.109375" customWidth="1"/>
  </cols>
  <sheetData>
    <row r="1" spans="3:24" ht="22.5" customHeight="1" x14ac:dyDescent="0.3"/>
    <row r="2" spans="3:24" ht="22.5" customHeight="1" x14ac:dyDescent="0.3"/>
    <row r="3" spans="3:24" ht="22.5" customHeight="1" x14ac:dyDescent="0.3">
      <c r="E3" s="9"/>
      <c r="F3" s="7"/>
      <c r="P3" s="1"/>
    </row>
    <row r="4" spans="3:24" ht="22.5" customHeight="1" x14ac:dyDescent="0.3">
      <c r="P4" s="1"/>
    </row>
    <row r="5" spans="3:24" ht="22.5" customHeight="1" x14ac:dyDescent="0.3">
      <c r="P5" s="1"/>
    </row>
    <row r="6" spans="3:24" ht="22.5" customHeight="1" x14ac:dyDescent="0.3">
      <c r="F6" s="1"/>
      <c r="G6" s="1"/>
      <c r="H6" s="1"/>
      <c r="I6" s="1"/>
      <c r="J6" s="1"/>
    </row>
    <row r="7" spans="3:24" ht="22.5" customHeight="1" x14ac:dyDescent="0.3">
      <c r="F7" s="1"/>
      <c r="G7" s="1"/>
      <c r="H7" s="1"/>
      <c r="I7" s="1"/>
      <c r="J7" s="1"/>
    </row>
    <row r="8" spans="3:24" ht="22.5" customHeight="1" x14ac:dyDescent="0.5">
      <c r="C8" s="218"/>
      <c r="D8" s="218"/>
      <c r="F8" s="1"/>
      <c r="G8" s="1"/>
      <c r="H8" s="1"/>
      <c r="I8" s="1"/>
      <c r="J8" s="1"/>
      <c r="P8" s="1"/>
    </row>
    <row r="9" spans="3:24" ht="22.5" customHeight="1" x14ac:dyDescent="0.3">
      <c r="Q9" s="1"/>
      <c r="R9" s="1"/>
      <c r="S9" s="1"/>
      <c r="T9" s="1"/>
      <c r="U9" s="1"/>
      <c r="V9" s="1"/>
    </row>
    <row r="10" spans="3:24" ht="22.5" customHeight="1" x14ac:dyDescent="0.3">
      <c r="E10" s="23"/>
      <c r="F10" s="2"/>
      <c r="Q10" s="1"/>
    </row>
    <row r="11" spans="3:24" ht="49.5" customHeight="1" x14ac:dyDescent="0.3">
      <c r="C11" s="217" t="s">
        <v>84</v>
      </c>
      <c r="D11" s="217"/>
      <c r="E11" s="217"/>
      <c r="F11" s="217"/>
      <c r="G11" s="67"/>
      <c r="H11" s="67"/>
      <c r="I11" s="68"/>
      <c r="J11" s="24"/>
      <c r="K11" s="67"/>
      <c r="L11" s="67"/>
      <c r="M11" s="67"/>
      <c r="N11" s="25"/>
      <c r="Q11" s="1"/>
    </row>
    <row r="12" spans="3:24" s="5" customFormat="1" ht="36" x14ac:dyDescent="0.35">
      <c r="C12" s="56" t="s">
        <v>0</v>
      </c>
      <c r="D12" s="57" t="s">
        <v>1</v>
      </c>
      <c r="E12" s="57" t="s">
        <v>5</v>
      </c>
      <c r="F12" s="57" t="s">
        <v>9</v>
      </c>
      <c r="G12" s="57" t="s">
        <v>8</v>
      </c>
      <c r="H12" s="57" t="s">
        <v>2</v>
      </c>
      <c r="I12" s="56" t="s">
        <v>6</v>
      </c>
      <c r="J12" s="56" t="s">
        <v>20</v>
      </c>
      <c r="K12" s="56" t="s">
        <v>3</v>
      </c>
      <c r="L12" s="56" t="s">
        <v>7</v>
      </c>
      <c r="M12" s="56" t="s">
        <v>10</v>
      </c>
      <c r="N12" s="56" t="s">
        <v>11</v>
      </c>
      <c r="O12" s="6"/>
    </row>
    <row r="13" spans="3:24" s="10" customFormat="1" ht="20.100000000000001" customHeight="1" x14ac:dyDescent="0.3">
      <c r="C13" s="191" t="s">
        <v>86</v>
      </c>
      <c r="D13" s="35"/>
      <c r="E13" s="35"/>
      <c r="F13" s="35"/>
      <c r="G13" s="35"/>
      <c r="H13" s="36"/>
      <c r="I13" s="37"/>
      <c r="J13" s="38"/>
      <c r="K13" s="39"/>
      <c r="L13" s="149">
        <f>Table41922[[#This Row],[Finished Cases]]*Table41922[[#This Row],[DF $ Value Per Case]]</f>
        <v>0</v>
      </c>
      <c r="M13" s="40">
        <f>Table41922[[#This Row],[Finished Cases]]*20.5</f>
        <v>0</v>
      </c>
      <c r="N13" s="41"/>
      <c r="O13" s="11"/>
    </row>
    <row r="14" spans="3:24" s="10" customFormat="1" ht="20.100000000000001" customHeight="1" x14ac:dyDescent="0.3">
      <c r="C14" s="12">
        <v>13440</v>
      </c>
      <c r="D14" s="201" t="s">
        <v>95</v>
      </c>
      <c r="E14" s="194">
        <v>28.9</v>
      </c>
      <c r="F14" s="13" t="s">
        <v>33</v>
      </c>
      <c r="G14" s="29">
        <v>0</v>
      </c>
      <c r="H14" s="14" t="s">
        <v>34</v>
      </c>
      <c r="I14" s="32">
        <v>78</v>
      </c>
      <c r="J14" s="72"/>
      <c r="K14" s="33">
        <f>Table41922[[#This Row],[Finished Cases]]*Table41922[[#This Row],[Avg. Servings Per Case]]</f>
        <v>0</v>
      </c>
      <c r="L14" s="34">
        <f>Table41922[[#This Row],[Finished Cases]]*Table41922[[#This Row],[DF $ Value Per Case]]</f>
        <v>0</v>
      </c>
      <c r="M14" s="64">
        <f>Table41922[[#This Row],[Finished Cases]]*20.5</f>
        <v>0</v>
      </c>
      <c r="N14" s="58"/>
      <c r="O14" s="11"/>
      <c r="X14"/>
    </row>
    <row r="15" spans="3:24" s="10" customFormat="1" ht="20.100000000000001" hidden="1" customHeight="1" x14ac:dyDescent="0.3">
      <c r="C15" s="15">
        <v>13410</v>
      </c>
      <c r="D15" s="201" t="s">
        <v>115</v>
      </c>
      <c r="E15" s="194">
        <v>28.9</v>
      </c>
      <c r="F15" s="13" t="s">
        <v>33</v>
      </c>
      <c r="G15" s="30">
        <v>0</v>
      </c>
      <c r="H15" s="14" t="s">
        <v>34</v>
      </c>
      <c r="I15" s="32">
        <v>78</v>
      </c>
      <c r="J15" s="73"/>
      <c r="K15" s="33">
        <f>Table41922[[#This Row],[Finished Cases]]*Table41922[[#This Row],[Avg. Servings Per Case]]</f>
        <v>0</v>
      </c>
      <c r="L15" s="34">
        <f>Table41922[[#This Row],[Finished Cases]]*Table41922[[#This Row],[DF $ Value Per Case]]</f>
        <v>0</v>
      </c>
      <c r="M15" s="64">
        <f>Table41922[[#This Row],[Finished Cases]]*20.5</f>
        <v>0</v>
      </c>
      <c r="N15" s="55"/>
      <c r="O15" s="11"/>
      <c r="X15"/>
    </row>
    <row r="16" spans="3:24" s="10" customFormat="1" ht="20.100000000000001" customHeight="1" x14ac:dyDescent="0.3">
      <c r="C16" s="15">
        <v>13443</v>
      </c>
      <c r="D16" s="201" t="s">
        <v>116</v>
      </c>
      <c r="E16" s="194">
        <v>28.9</v>
      </c>
      <c r="F16" s="13" t="s">
        <v>33</v>
      </c>
      <c r="G16" s="30">
        <v>0</v>
      </c>
      <c r="H16" s="14" t="s">
        <v>34</v>
      </c>
      <c r="I16" s="32">
        <v>78</v>
      </c>
      <c r="J16" s="73"/>
      <c r="K16" s="33">
        <f>Table41922[[#This Row],[Finished Cases]]*Table41922[[#This Row],[Avg. Servings Per Case]]</f>
        <v>0</v>
      </c>
      <c r="L16" s="34">
        <f>Table41922[[#This Row],[Finished Cases]]*Table41922[[#This Row],[DF $ Value Per Case]]</f>
        <v>0</v>
      </c>
      <c r="M16" s="64">
        <f>Table41922[[#This Row],[Finished Cases]]*20.5</f>
        <v>0</v>
      </c>
      <c r="N16" s="55"/>
      <c r="O16" s="11"/>
      <c r="X16"/>
    </row>
    <row r="17" spans="3:24" s="10" customFormat="1" ht="20.100000000000001" customHeight="1" x14ac:dyDescent="0.3">
      <c r="C17" s="15">
        <v>13441</v>
      </c>
      <c r="D17" s="201" t="s">
        <v>96</v>
      </c>
      <c r="E17" s="194">
        <v>28.9</v>
      </c>
      <c r="F17" s="13" t="s">
        <v>33</v>
      </c>
      <c r="G17" s="30">
        <v>0</v>
      </c>
      <c r="H17" s="16" t="s">
        <v>35</v>
      </c>
      <c r="I17" s="20">
        <v>156</v>
      </c>
      <c r="J17" s="73"/>
      <c r="K17" s="33">
        <f>Table41922[[#This Row],[Finished Cases]]*Table41922[[#This Row],[Avg. Servings Per Case]]</f>
        <v>0</v>
      </c>
      <c r="L17" s="34">
        <f>Table41922[[#This Row],[Finished Cases]]*Table41922[[#This Row],[DF $ Value Per Case]]</f>
        <v>0</v>
      </c>
      <c r="M17" s="64">
        <f>Table41922[[#This Row],[Finished Cases]]*20.5</f>
        <v>0</v>
      </c>
      <c r="N17" s="55"/>
      <c r="O17" s="11"/>
      <c r="X17"/>
    </row>
    <row r="18" spans="3:24" s="10" customFormat="1" ht="20.100000000000001" customHeight="1" x14ac:dyDescent="0.3">
      <c r="C18" s="15">
        <v>23415</v>
      </c>
      <c r="D18" s="201" t="s">
        <v>97</v>
      </c>
      <c r="E18" s="194">
        <v>28.9</v>
      </c>
      <c r="F18" s="13" t="s">
        <v>33</v>
      </c>
      <c r="G18" s="30">
        <v>0</v>
      </c>
      <c r="H18" s="16" t="s">
        <v>37</v>
      </c>
      <c r="I18" s="20">
        <v>78</v>
      </c>
      <c r="J18" s="73"/>
      <c r="K18" s="33">
        <f>Table41922[[#This Row],[Finished Cases]]*Table41922[[#This Row],[Avg. Servings Per Case]]</f>
        <v>0</v>
      </c>
      <c r="L18" s="34">
        <f>Table41922[[#This Row],[Finished Cases]]*Table41922[[#This Row],[DF $ Value Per Case]]</f>
        <v>0</v>
      </c>
      <c r="M18" s="64">
        <f>Table41922[[#This Row],[Finished Cases]]*20.5</f>
        <v>0</v>
      </c>
      <c r="N18" s="55"/>
      <c r="O18" s="11"/>
      <c r="X18"/>
    </row>
    <row r="19" spans="3:24" s="10" customFormat="1" ht="20.100000000000001" hidden="1" customHeight="1" x14ac:dyDescent="0.3">
      <c r="C19" s="15">
        <v>23417</v>
      </c>
      <c r="D19" s="201" t="s">
        <v>117</v>
      </c>
      <c r="E19" s="194">
        <v>28.9</v>
      </c>
      <c r="F19" s="13" t="s">
        <v>33</v>
      </c>
      <c r="G19" s="30">
        <v>0</v>
      </c>
      <c r="H19" s="16" t="s">
        <v>37</v>
      </c>
      <c r="I19" s="20">
        <v>78</v>
      </c>
      <c r="J19" s="73"/>
      <c r="K19" s="33">
        <f>Table41922[[#This Row],[Finished Cases]]*Table41922[[#This Row],[Avg. Servings Per Case]]</f>
        <v>0</v>
      </c>
      <c r="L19" s="34">
        <f>Table41922[[#This Row],[Finished Cases]]*Table41922[[#This Row],[DF $ Value Per Case]]</f>
        <v>0</v>
      </c>
      <c r="M19" s="64">
        <f>Table41922[[#This Row],[Finished Cases]]*20.5</f>
        <v>0</v>
      </c>
      <c r="N19" s="55"/>
      <c r="O19" s="11"/>
      <c r="X19"/>
    </row>
    <row r="20" spans="3:24" s="10" customFormat="1" ht="20.100000000000001" customHeight="1" x14ac:dyDescent="0.3">
      <c r="C20" s="17">
        <v>43424</v>
      </c>
      <c r="D20" s="201" t="s">
        <v>98</v>
      </c>
      <c r="E20" s="194">
        <v>28.9</v>
      </c>
      <c r="F20" s="13" t="s">
        <v>33</v>
      </c>
      <c r="G20" s="42">
        <v>0</v>
      </c>
      <c r="H20" s="18" t="s">
        <v>36</v>
      </c>
      <c r="I20" s="43">
        <v>78</v>
      </c>
      <c r="J20" s="74"/>
      <c r="K20" s="33">
        <f>Table41922[[#This Row],[Finished Cases]]*Table41922[[#This Row],[Avg. Servings Per Case]]</f>
        <v>0</v>
      </c>
      <c r="L20" s="34">
        <f>Table41922[[#This Row],[Finished Cases]]*Table41922[[#This Row],[DF $ Value Per Case]]</f>
        <v>0</v>
      </c>
      <c r="M20" s="64">
        <f>Table41922[[#This Row],[Finished Cases]]*20.5</f>
        <v>0</v>
      </c>
      <c r="N20" s="59"/>
      <c r="O20" s="11"/>
      <c r="X20"/>
    </row>
    <row r="21" spans="3:24" s="10" customFormat="1" ht="20.25" customHeight="1" x14ac:dyDescent="0.3">
      <c r="C21" s="17">
        <v>43404</v>
      </c>
      <c r="D21" s="201" t="s">
        <v>118</v>
      </c>
      <c r="E21" s="194">
        <v>28.9</v>
      </c>
      <c r="F21" s="13" t="s">
        <v>33</v>
      </c>
      <c r="G21" s="42">
        <v>0</v>
      </c>
      <c r="H21" s="18" t="s">
        <v>36</v>
      </c>
      <c r="I21" s="43">
        <v>78</v>
      </c>
      <c r="J21" s="74"/>
      <c r="K21" s="33">
        <f>Table41922[[#This Row],[Finished Cases]]*Table41922[[#This Row],[Avg. Servings Per Case]]</f>
        <v>0</v>
      </c>
      <c r="L21" s="34">
        <f>Table41922[[#This Row],[Finished Cases]]*Table41922[[#This Row],[DF $ Value Per Case]]</f>
        <v>0</v>
      </c>
      <c r="M21" s="64">
        <f>Table41922[[#This Row],[Finished Cases]]*20.5</f>
        <v>0</v>
      </c>
      <c r="N21" s="59"/>
      <c r="O21" s="11"/>
      <c r="X21"/>
    </row>
    <row r="22" spans="3:24" s="10" customFormat="1" ht="20.25" customHeight="1" x14ac:dyDescent="0.3">
      <c r="C22" s="191" t="s">
        <v>85</v>
      </c>
      <c r="D22" s="45"/>
      <c r="E22" s="45"/>
      <c r="F22" s="45"/>
      <c r="G22" s="45"/>
      <c r="H22" s="46"/>
      <c r="I22" s="47"/>
      <c r="J22" s="48"/>
      <c r="K22" s="49"/>
      <c r="L22" s="48"/>
      <c r="M22" s="48"/>
      <c r="N22" s="50"/>
      <c r="O22" s="11"/>
      <c r="R22" s="85"/>
    </row>
    <row r="23" spans="3:24" s="10" customFormat="1" ht="20.25" customHeight="1" x14ac:dyDescent="0.3">
      <c r="C23" s="12">
        <v>56404</v>
      </c>
      <c r="D23" s="201" t="s">
        <v>99</v>
      </c>
      <c r="E23" s="13">
        <v>37.049999999999997</v>
      </c>
      <c r="F23" s="13" t="s">
        <v>42</v>
      </c>
      <c r="G23" s="29">
        <v>0</v>
      </c>
      <c r="H23" s="14" t="s">
        <v>41</v>
      </c>
      <c r="I23" s="44">
        <v>114</v>
      </c>
      <c r="J23" s="84"/>
      <c r="K23" s="33">
        <f>Table41922[[#This Row],[Finished Cases]]*Table41922[[#This Row],[Avg. Servings Per Case]]</f>
        <v>0</v>
      </c>
      <c r="L23" s="34">
        <f>Table41922[[#This Row],[Finished Cases]]*Table41922[[#This Row],[DF $ Value Per Case]]</f>
        <v>0</v>
      </c>
      <c r="M23" s="64">
        <f>Table41922[[#This Row],[Finished Cases]]*26.28</f>
        <v>0</v>
      </c>
      <c r="N23" s="58"/>
      <c r="O23" s="11"/>
      <c r="R23" s="85"/>
    </row>
    <row r="24" spans="3:24" s="10" customFormat="1" ht="20.25" hidden="1" customHeight="1" x14ac:dyDescent="0.3">
      <c r="C24" s="12">
        <v>54485</v>
      </c>
      <c r="D24" s="201" t="s">
        <v>100</v>
      </c>
      <c r="E24" s="194">
        <v>28.9</v>
      </c>
      <c r="F24" s="13" t="s">
        <v>33</v>
      </c>
      <c r="G24" s="29">
        <v>0</v>
      </c>
      <c r="H24" s="14" t="s">
        <v>38</v>
      </c>
      <c r="I24" s="44">
        <v>76</v>
      </c>
      <c r="J24" s="84"/>
      <c r="K24" s="33">
        <f>Table41922[[#This Row],[Finished Cases]]*Table41922[[#This Row],[Avg. Servings Per Case]]</f>
        <v>0</v>
      </c>
      <c r="L24" s="34">
        <f>Table41922[[#This Row],[Finished Cases]]*Table41922[[#This Row],[DF $ Value Per Case]]</f>
        <v>0</v>
      </c>
      <c r="M24" s="64">
        <f>Table41922[[#This Row],[Finished Cases]]*20.5</f>
        <v>0</v>
      </c>
      <c r="N24" s="58"/>
      <c r="O24" s="11"/>
    </row>
    <row r="25" spans="3:24" s="10" customFormat="1" ht="20.25" customHeight="1" x14ac:dyDescent="0.3">
      <c r="C25" s="15">
        <v>54486</v>
      </c>
      <c r="D25" s="201" t="s">
        <v>101</v>
      </c>
      <c r="E25" s="194">
        <v>28.9</v>
      </c>
      <c r="F25" s="13" t="s">
        <v>33</v>
      </c>
      <c r="G25" s="30">
        <v>0</v>
      </c>
      <c r="H25" s="16" t="s">
        <v>34</v>
      </c>
      <c r="I25" s="31">
        <v>78</v>
      </c>
      <c r="J25" s="83"/>
      <c r="K25" s="33">
        <f>Table41922[[#This Row],[Finished Cases]]*Table41922[[#This Row],[Avg. Servings Per Case]]</f>
        <v>0</v>
      </c>
      <c r="L25" s="34">
        <f>Table41922[[#This Row],[Finished Cases]]*Table41922[[#This Row],[DF $ Value Per Case]]</f>
        <v>0</v>
      </c>
      <c r="M25" s="64">
        <f>Table41922[[#This Row],[Finished Cases]]*20.5</f>
        <v>0</v>
      </c>
      <c r="N25" s="55"/>
      <c r="O25" s="11"/>
    </row>
    <row r="26" spans="3:24" s="10" customFormat="1" ht="20.25" customHeight="1" x14ac:dyDescent="0.3">
      <c r="C26" s="15">
        <v>54487</v>
      </c>
      <c r="D26" s="201" t="s">
        <v>102</v>
      </c>
      <c r="E26" s="194">
        <v>28.9</v>
      </c>
      <c r="F26" s="13" t="s">
        <v>33</v>
      </c>
      <c r="G26" s="30">
        <v>0</v>
      </c>
      <c r="H26" s="16" t="s">
        <v>39</v>
      </c>
      <c r="I26" s="31">
        <v>76</v>
      </c>
      <c r="J26" s="83"/>
      <c r="K26" s="33">
        <f>Table41922[[#This Row],[Finished Cases]]*Table41922[[#This Row],[Avg. Servings Per Case]]</f>
        <v>0</v>
      </c>
      <c r="L26" s="34">
        <f>Table41922[[#This Row],[Finished Cases]]*Table41922[[#This Row],[DF $ Value Per Case]]</f>
        <v>0</v>
      </c>
      <c r="M26" s="64">
        <f>Table41922[[#This Row],[Finished Cases]]*20.5</f>
        <v>0</v>
      </c>
      <c r="N26" s="55"/>
      <c r="O26" s="11"/>
    </row>
    <row r="27" spans="3:24" s="10" customFormat="1" ht="20.25" hidden="1" customHeight="1" x14ac:dyDescent="0.3">
      <c r="C27" s="15">
        <v>54496</v>
      </c>
      <c r="D27" s="201" t="s">
        <v>119</v>
      </c>
      <c r="E27" s="194">
        <v>28.9</v>
      </c>
      <c r="F27" s="13" t="s">
        <v>33</v>
      </c>
      <c r="G27" s="30">
        <v>0</v>
      </c>
      <c r="H27" s="16" t="s">
        <v>34</v>
      </c>
      <c r="I27" s="31">
        <v>78</v>
      </c>
      <c r="J27" s="83"/>
      <c r="K27" s="33">
        <f>Table41922[[#This Row],[Finished Cases]]*Table41922[[#This Row],[Avg. Servings Per Case]]</f>
        <v>0</v>
      </c>
      <c r="L27" s="34">
        <f>Table41922[[#This Row],[Finished Cases]]*Table41922[[#This Row],[DF $ Value Per Case]]</f>
        <v>0</v>
      </c>
      <c r="M27" s="64">
        <f>Table41922[[#This Row],[Finished Cases]]*20.5</f>
        <v>0</v>
      </c>
      <c r="N27" s="55"/>
      <c r="O27" s="11"/>
    </row>
    <row r="28" spans="3:24" s="5" customFormat="1" ht="20.25" hidden="1" customHeight="1" x14ac:dyDescent="0.35">
      <c r="C28" s="15">
        <v>54497</v>
      </c>
      <c r="D28" s="201" t="s">
        <v>120</v>
      </c>
      <c r="E28" s="194">
        <v>28.9</v>
      </c>
      <c r="F28" s="13" t="s">
        <v>33</v>
      </c>
      <c r="G28" s="30">
        <v>0</v>
      </c>
      <c r="H28" s="16" t="s">
        <v>40</v>
      </c>
      <c r="I28" s="31">
        <v>77</v>
      </c>
      <c r="J28" s="83"/>
      <c r="K28" s="33">
        <f>Table41922[[#This Row],[Finished Cases]]*Table41922[[#This Row],[Avg. Servings Per Case]]</f>
        <v>0</v>
      </c>
      <c r="L28" s="34">
        <f>Table41922[[#This Row],[Finished Cases]]*Table41922[[#This Row],[DF $ Value Per Case]]</f>
        <v>0</v>
      </c>
      <c r="M28" s="64">
        <f>Table41922[[#This Row],[Finished Cases]]*20.5</f>
        <v>0</v>
      </c>
      <c r="N28" s="55"/>
      <c r="O28" s="6"/>
    </row>
    <row r="29" spans="3:24" ht="20.25" customHeight="1" x14ac:dyDescent="0.35">
      <c r="C29" s="113"/>
      <c r="D29" s="114"/>
      <c r="E29" s="114"/>
      <c r="F29" s="114"/>
      <c r="G29" s="114"/>
      <c r="H29" s="115"/>
      <c r="I29" s="116"/>
      <c r="J29" s="117">
        <f>SUM(Table41922[Finished Cases])</f>
        <v>0</v>
      </c>
      <c r="K29" s="118">
        <f>SUM(Table41922[Total Servings])</f>
        <v>0</v>
      </c>
      <c r="L29" s="119">
        <f>SUM(L14:L21,L23:L28)</f>
        <v>0</v>
      </c>
      <c r="M29" s="120">
        <f>SUM(M14:M21,M23:M28)</f>
        <v>0</v>
      </c>
      <c r="N29" s="121"/>
    </row>
    <row r="30" spans="3:24" ht="20.25" customHeight="1" x14ac:dyDescent="0.35">
      <c r="C30" s="113"/>
      <c r="D30" s="114"/>
      <c r="E30" s="114"/>
      <c r="F30" s="114"/>
      <c r="G30" s="114"/>
      <c r="H30" s="115"/>
      <c r="I30" s="116"/>
      <c r="J30" s="136"/>
      <c r="K30" s="137"/>
      <c r="L30" s="138"/>
      <c r="M30" s="139"/>
      <c r="N30" s="140"/>
    </row>
    <row r="31" spans="3:24" ht="45" customHeight="1" x14ac:dyDescent="0.3">
      <c r="C31" s="77" t="s">
        <v>87</v>
      </c>
      <c r="D31" s="77"/>
      <c r="E31" s="77"/>
      <c r="F31" s="80" t="s">
        <v>52</v>
      </c>
      <c r="G31" s="82" cm="1">
        <f t="array" ref="G31">Table152135[Chicken Crumble Cases]</f>
        <v>0</v>
      </c>
      <c r="H31" s="76"/>
      <c r="I31" s="80" t="s">
        <v>25</v>
      </c>
      <c r="J31" s="82">
        <f>Table15332[Sausage Dark Meat Formed Cases]</f>
        <v>0</v>
      </c>
      <c r="K31" s="3"/>
      <c r="L31" s="3"/>
      <c r="M31" s="80" t="s">
        <v>53</v>
      </c>
      <c r="N31" s="82">
        <f>Table15213[Garlic Basil Meatball  Cases]</f>
        <v>0</v>
      </c>
    </row>
    <row r="32" spans="3:24" s="5" customFormat="1" ht="45" customHeight="1" x14ac:dyDescent="0.35">
      <c r="C32" s="77"/>
      <c r="D32" s="77"/>
      <c r="E32" s="77"/>
      <c r="F32" s="77"/>
      <c r="G32" s="79"/>
      <c r="H32" s="76"/>
      <c r="I32" s="80" t="s">
        <v>26</v>
      </c>
      <c r="J32" s="82">
        <f>Table1521[Popper Dark Meat Formed Cases]</f>
        <v>0</v>
      </c>
      <c r="K32" s="3"/>
      <c r="L32" s="3"/>
      <c r="M32" s="81" t="s">
        <v>54</v>
      </c>
      <c r="N32" s="82">
        <f>Table152135[Mango Jalapeno Meatball Cases]</f>
        <v>0</v>
      </c>
    </row>
    <row r="33" spans="3:17" s="10" customFormat="1" ht="60.75" customHeight="1" x14ac:dyDescent="0.3">
      <c r="C33" s="53" t="s">
        <v>0</v>
      </c>
      <c r="D33" s="54" t="s">
        <v>1</v>
      </c>
      <c r="E33" s="54" t="s">
        <v>5</v>
      </c>
      <c r="F33" s="54" t="s">
        <v>9</v>
      </c>
      <c r="G33" s="54" t="s">
        <v>8</v>
      </c>
      <c r="H33" s="54" t="s">
        <v>2</v>
      </c>
      <c r="I33" s="53" t="s">
        <v>6</v>
      </c>
      <c r="J33" s="53" t="s">
        <v>20</v>
      </c>
      <c r="K33" s="53" t="s">
        <v>3</v>
      </c>
      <c r="L33" s="53" t="s">
        <v>7</v>
      </c>
      <c r="M33" s="53" t="s">
        <v>10</v>
      </c>
      <c r="N33" s="53" t="s">
        <v>11</v>
      </c>
    </row>
    <row r="34" spans="3:17" s="10" customFormat="1" ht="20.25" customHeight="1" x14ac:dyDescent="0.3">
      <c r="C34" s="15">
        <v>81401</v>
      </c>
      <c r="D34" s="201" t="s">
        <v>103</v>
      </c>
      <c r="E34" s="86">
        <v>75.150000000000006</v>
      </c>
      <c r="F34" s="26">
        <v>0</v>
      </c>
      <c r="G34" s="19" t="s">
        <v>48</v>
      </c>
      <c r="H34" s="16" t="s">
        <v>49</v>
      </c>
      <c r="I34" s="20">
        <v>232</v>
      </c>
      <c r="J34" s="83"/>
      <c r="K34" s="21">
        <f>Table5202226[[#This Row],[Avg. Servings Per Case]]*Table5202226[[#This Row],[Finished Cases]]</f>
        <v>0</v>
      </c>
      <c r="L34" s="22">
        <f>Table5202226[[#This Row],[Finished Cases]]*Table5202226[[#This Row],[DF $ Value Per Case]]</f>
        <v>0</v>
      </c>
      <c r="M34" s="27"/>
      <c r="N34" s="27">
        <f>Table5202226[[#This Row],[Finished Cases]]*53.3</f>
        <v>0</v>
      </c>
    </row>
    <row r="35" spans="3:17" s="5" customFormat="1" ht="20.25" customHeight="1" x14ac:dyDescent="0.35">
      <c r="C35" s="144">
        <v>94403</v>
      </c>
      <c r="D35" s="201" t="s">
        <v>104</v>
      </c>
      <c r="E35" s="86">
        <v>44.83</v>
      </c>
      <c r="F35" s="26">
        <v>0</v>
      </c>
      <c r="G35" s="90" t="s">
        <v>50</v>
      </c>
      <c r="H35" s="16" t="s">
        <v>51</v>
      </c>
      <c r="I35" s="20">
        <v>77</v>
      </c>
      <c r="J35" s="83"/>
      <c r="K35" s="21">
        <f>Table5202226[[#This Row],[Avg. Servings Per Case]]*Table5202226[[#This Row],[Finished Cases]]</f>
        <v>0</v>
      </c>
      <c r="L35" s="22">
        <f>Table5202226[[#This Row],[Finished Cases]]*Table5202226[[#This Row],[DF $ Value Per Case]]</f>
        <v>0</v>
      </c>
      <c r="M35" s="27"/>
      <c r="N35" s="27">
        <f>Table5202226[[#This Row],[Finished Cases]]*31.8</f>
        <v>0</v>
      </c>
    </row>
    <row r="36" spans="3:17" ht="20.25" customHeight="1" x14ac:dyDescent="0.3">
      <c r="C36" s="15">
        <v>91401</v>
      </c>
      <c r="D36" s="201" t="s">
        <v>105</v>
      </c>
      <c r="E36" s="150">
        <v>55.37</v>
      </c>
      <c r="F36" s="26">
        <v>0</v>
      </c>
      <c r="G36" s="19" t="s">
        <v>46</v>
      </c>
      <c r="H36" s="16" t="s">
        <v>45</v>
      </c>
      <c r="I36" s="20">
        <v>123</v>
      </c>
      <c r="J36" s="83"/>
      <c r="K36" s="21">
        <f>Table5202226[[#This Row],[Avg. Servings Per Case]]*Table5202226[[#This Row],[Finished Cases]]</f>
        <v>0</v>
      </c>
      <c r="L36" s="22">
        <f>Table5202226[[#This Row],[Finished Cases]]*Table5202226[[#This Row],[DF $ Value Per Case]]</f>
        <v>0</v>
      </c>
      <c r="M36" s="27"/>
      <c r="N36" s="27">
        <f>Table5202226[[#This Row],[Finished Cases]]*39.27</f>
        <v>0</v>
      </c>
    </row>
    <row r="37" spans="3:17" ht="20.25" hidden="1" customHeight="1" x14ac:dyDescent="0.3">
      <c r="C37" s="15">
        <v>91402</v>
      </c>
      <c r="D37" s="201" t="s">
        <v>106</v>
      </c>
      <c r="E37" s="146">
        <v>54.41</v>
      </c>
      <c r="F37" s="26">
        <v>0</v>
      </c>
      <c r="G37" s="90" t="s">
        <v>47</v>
      </c>
      <c r="H37" s="16" t="s">
        <v>45</v>
      </c>
      <c r="I37" s="20">
        <v>123</v>
      </c>
      <c r="J37" s="83"/>
      <c r="K37" s="21">
        <f>Table5202226[[#This Row],[Avg. Servings Per Case]]*Table5202226[[#This Row],[Finished Cases]]</f>
        <v>0</v>
      </c>
      <c r="L37" s="22">
        <f>Table5202226[[#This Row],[Finished Cases]]*Table5202226[[#This Row],[DF $ Value Per Case]]</f>
        <v>0</v>
      </c>
      <c r="M37" s="27"/>
      <c r="N37" s="27">
        <f>Table5202226[[#This Row],[Finished Cases]]*38.59</f>
        <v>0</v>
      </c>
    </row>
    <row r="38" spans="3:17" s="10" customFormat="1" ht="20.25" hidden="1" customHeight="1" x14ac:dyDescent="0.3">
      <c r="C38" s="15">
        <v>91409</v>
      </c>
      <c r="D38" s="201" t="s">
        <v>107</v>
      </c>
      <c r="E38" s="150">
        <v>55.37</v>
      </c>
      <c r="F38" s="26"/>
      <c r="G38" s="19" t="s">
        <v>46</v>
      </c>
      <c r="H38" s="16" t="s">
        <v>44</v>
      </c>
      <c r="I38" s="20">
        <v>123</v>
      </c>
      <c r="J38" s="151"/>
      <c r="K38" s="21">
        <f>Table5202226[[#This Row],[Avg. Servings Per Case]]*Table5202226[[#This Row],[Finished Cases]]</f>
        <v>0</v>
      </c>
      <c r="L38" s="22">
        <f>Table5202226[[#This Row],[Finished Cases]]*Table5202226[[#This Row],[DF $ Value Per Case]]</f>
        <v>0</v>
      </c>
      <c r="M38" s="27"/>
      <c r="N38" s="27">
        <f>Table5202226[[#This Row],[Finished Cases]]*39.27</f>
        <v>0</v>
      </c>
      <c r="O38" s="11"/>
    </row>
    <row r="39" spans="3:17" s="10" customFormat="1" ht="20.25" hidden="1" customHeight="1" x14ac:dyDescent="0.3">
      <c r="C39" s="15">
        <v>91410</v>
      </c>
      <c r="D39" s="201" t="s">
        <v>108</v>
      </c>
      <c r="E39" s="146">
        <v>54.41</v>
      </c>
      <c r="F39" s="26">
        <v>0</v>
      </c>
      <c r="G39" s="90" t="s">
        <v>47</v>
      </c>
      <c r="H39" s="16" t="s">
        <v>44</v>
      </c>
      <c r="I39" s="20">
        <v>123</v>
      </c>
      <c r="J39" s="151"/>
      <c r="K39" s="21">
        <f>Table5202226[[#This Row],[Avg. Servings Per Case]]*Table5202226[[#This Row],[Finished Cases]]</f>
        <v>0</v>
      </c>
      <c r="L39" s="22">
        <f>Table5202226[[#This Row],[Finished Cases]]*Table5202226[[#This Row],[DF $ Value Per Case]]</f>
        <v>0</v>
      </c>
      <c r="M39" s="27"/>
      <c r="N39" s="27">
        <f>Table5202226[[#This Row],[Finished Cases]]*38.59</f>
        <v>0</v>
      </c>
      <c r="O39" s="11"/>
    </row>
    <row r="40" spans="3:17" s="10" customFormat="1" ht="20.25" hidden="1" customHeight="1" x14ac:dyDescent="0.3">
      <c r="C40" s="15">
        <v>37101</v>
      </c>
      <c r="D40" s="201" t="s">
        <v>109</v>
      </c>
      <c r="E40" s="150">
        <v>67.150000000000006</v>
      </c>
      <c r="F40" s="26">
        <v>0</v>
      </c>
      <c r="G40" s="19" t="s">
        <v>43</v>
      </c>
      <c r="H40" s="16" t="s">
        <v>44</v>
      </c>
      <c r="I40" s="20">
        <v>123</v>
      </c>
      <c r="J40" s="151"/>
      <c r="K40" s="21">
        <f>Table5202226[[#This Row],[Avg. Servings Per Case]]*Table5202226[[#This Row],[Finished Cases]]</f>
        <v>0</v>
      </c>
      <c r="L40" s="22">
        <f>Table5202226[[#This Row],[Finished Cases]]*Table5202226[[#This Row],[DF $ Value Per Case]]</f>
        <v>0</v>
      </c>
      <c r="M40" s="27"/>
      <c r="N40" s="27">
        <f>Table5202226[[#This Row],[Finished Cases]]*47.63</f>
        <v>0</v>
      </c>
      <c r="O40" s="11"/>
    </row>
    <row r="41" spans="3:17" s="10" customFormat="1" ht="19.5" hidden="1" customHeight="1" x14ac:dyDescent="0.35">
      <c r="C41" s="113"/>
      <c r="D41" s="114"/>
      <c r="E41" s="114"/>
      <c r="F41" s="114"/>
      <c r="G41" s="114"/>
      <c r="H41" s="115"/>
      <c r="I41" s="116"/>
      <c r="J41" s="117">
        <f>SUM(Table5202226[Finished Cases])</f>
        <v>0</v>
      </c>
      <c r="K41" s="118">
        <f>SUM(Table5202226[Total Servings])</f>
        <v>0</v>
      </c>
      <c r="L41" s="122">
        <f>SUM(Table5202226[DF $ Value])</f>
        <v>0</v>
      </c>
      <c r="M41" s="123"/>
      <c r="N41" s="123">
        <f>SUM(Table5202226[DF Pounds DARK])</f>
        <v>0</v>
      </c>
    </row>
    <row r="42" spans="3:17" s="10" customFormat="1" ht="19.5" customHeight="1" x14ac:dyDescent="0.35">
      <c r="C42" s="113"/>
      <c r="D42" s="114"/>
      <c r="E42" s="114"/>
      <c r="F42" s="114"/>
      <c r="G42" s="114"/>
      <c r="H42" s="115"/>
      <c r="I42" s="116"/>
      <c r="J42" s="136"/>
      <c r="K42" s="137"/>
      <c r="L42" s="143"/>
      <c r="M42" s="141"/>
      <c r="N42" s="141"/>
    </row>
    <row r="43" spans="3:17" s="10" customFormat="1" ht="33.6" x14ac:dyDescent="0.3">
      <c r="C43" s="88" t="s">
        <v>32</v>
      </c>
      <c r="D43" s="88"/>
      <c r="E43" s="88"/>
      <c r="F43" s="88"/>
      <c r="G43" s="66"/>
      <c r="H43" s="66"/>
      <c r="I43" s="69"/>
      <c r="J43" s="28"/>
      <c r="K43" s="148"/>
      <c r="L43" s="148"/>
      <c r="M43" s="28"/>
      <c r="N43" s="60"/>
      <c r="O43" s="11"/>
    </row>
    <row r="44" spans="3:17" ht="36" x14ac:dyDescent="0.3">
      <c r="C44" s="51" t="s">
        <v>0</v>
      </c>
      <c r="D44" s="52" t="s">
        <v>1</v>
      </c>
      <c r="E44" s="52" t="s">
        <v>5</v>
      </c>
      <c r="F44" s="52" t="s">
        <v>9</v>
      </c>
      <c r="G44" s="52" t="s">
        <v>8</v>
      </c>
      <c r="H44" s="52" t="s">
        <v>2</v>
      </c>
      <c r="I44" s="51" t="s">
        <v>6</v>
      </c>
      <c r="J44" s="51" t="s">
        <v>20</v>
      </c>
      <c r="K44" s="147" t="s">
        <v>3</v>
      </c>
      <c r="L44" s="147" t="s">
        <v>7</v>
      </c>
      <c r="M44" s="51" t="s">
        <v>10</v>
      </c>
      <c r="N44" s="51" t="s">
        <v>11</v>
      </c>
    </row>
    <row r="45" spans="3:17" ht="19.5" hidden="1" customHeight="1" x14ac:dyDescent="0.3">
      <c r="C45" s="15">
        <v>54409</v>
      </c>
      <c r="D45" s="201" t="s">
        <v>110</v>
      </c>
      <c r="E45" s="19">
        <v>18.91</v>
      </c>
      <c r="F45" s="19" t="s">
        <v>55</v>
      </c>
      <c r="G45" s="19" t="s">
        <v>56</v>
      </c>
      <c r="H45" s="16" t="s">
        <v>58</v>
      </c>
      <c r="I45" s="20">
        <v>107</v>
      </c>
      <c r="J45" s="73"/>
      <c r="K45" s="21">
        <f>Table52025[[#This Row],[Finished Cases]]*107</f>
        <v>0</v>
      </c>
      <c r="L45" s="152">
        <f>Table52025[[#This Row],[Finished Cases]]*Table52025[[#This Row],[DF $ Value Per Case]]</f>
        <v>0</v>
      </c>
      <c r="M45" s="27">
        <f>Table52025[[#This Row],[Finished Cases]]*9.24</f>
        <v>0</v>
      </c>
      <c r="N45" s="27">
        <f>Table52025[[#This Row],[Finished Cases]]*4.17</f>
        <v>0</v>
      </c>
    </row>
    <row r="46" spans="3:17" ht="19.5" hidden="1" customHeight="1" x14ac:dyDescent="0.3">
      <c r="C46" s="15">
        <v>54410</v>
      </c>
      <c r="D46" s="201" t="s">
        <v>111</v>
      </c>
      <c r="E46" s="19">
        <v>18.91</v>
      </c>
      <c r="F46" s="19" t="s">
        <v>55</v>
      </c>
      <c r="G46" s="19" t="s">
        <v>56</v>
      </c>
      <c r="H46" s="16" t="s">
        <v>57</v>
      </c>
      <c r="I46" s="20">
        <v>107</v>
      </c>
      <c r="J46" s="73"/>
      <c r="K46" s="21">
        <f>Table52025[[#This Row],[Finished Cases]]*107</f>
        <v>0</v>
      </c>
      <c r="L46" s="152">
        <f>Table52025[[#This Row],[Finished Cases]]*Table52025[[#This Row],[DF $ Value Per Case]]</f>
        <v>0</v>
      </c>
      <c r="M46" s="27">
        <f>Table52025[[#This Row],[Finished Cases]]*9.24</f>
        <v>0</v>
      </c>
      <c r="N46" s="27">
        <f>Table52025[[#This Row],[Finished Cases]]*4.17</f>
        <v>0</v>
      </c>
    </row>
    <row r="47" spans="3:17" s="1" customFormat="1" ht="19.5" hidden="1" customHeight="1" x14ac:dyDescent="0.3">
      <c r="C47" s="15">
        <v>54411</v>
      </c>
      <c r="D47" s="201" t="s">
        <v>112</v>
      </c>
      <c r="E47" s="19">
        <v>18.91</v>
      </c>
      <c r="F47" s="19" t="s">
        <v>55</v>
      </c>
      <c r="G47" s="19" t="s">
        <v>56</v>
      </c>
      <c r="H47" s="16" t="s">
        <v>59</v>
      </c>
      <c r="I47" s="20">
        <v>214</v>
      </c>
      <c r="J47" s="73"/>
      <c r="K47" s="21">
        <f>Table52025[[#This Row],[Finished Cases]]*214</f>
        <v>0</v>
      </c>
      <c r="L47" s="152">
        <f>Table52025[[#This Row],[Finished Cases]]*Table52025[[#This Row],[DF $ Value Per Case]]</f>
        <v>0</v>
      </c>
      <c r="M47" s="27">
        <f>Table52025[[#This Row],[Finished Cases]]*9.24</f>
        <v>0</v>
      </c>
      <c r="N47" s="27">
        <f>Table52025[[#This Row],[Finished Cases]]*4.17</f>
        <v>0</v>
      </c>
    </row>
    <row r="48" spans="3:17" s="1" customFormat="1" ht="19.5" customHeight="1" x14ac:dyDescent="0.3">
      <c r="C48" s="15">
        <v>54453</v>
      </c>
      <c r="D48" s="201" t="s">
        <v>113</v>
      </c>
      <c r="E48" s="19">
        <v>18.91</v>
      </c>
      <c r="F48" s="19" t="s">
        <v>55</v>
      </c>
      <c r="G48" s="19" t="s">
        <v>56</v>
      </c>
      <c r="H48" s="16" t="s">
        <v>61</v>
      </c>
      <c r="I48" s="20">
        <v>107</v>
      </c>
      <c r="J48" s="73"/>
      <c r="K48" s="21">
        <f>Table52025[[#This Row],[Finished Cases]]*107</f>
        <v>0</v>
      </c>
      <c r="L48" s="152">
        <f>Table52025[[#This Row],[Finished Cases]]*Table52025[[#This Row],[DF $ Value Per Case]]</f>
        <v>0</v>
      </c>
      <c r="M48" s="27">
        <f>Table52025[[#This Row],[Finished Cases]]*9.24</f>
        <v>0</v>
      </c>
      <c r="N48" s="27">
        <f>Table52025[[#This Row],[Finished Cases]]*4.17</f>
        <v>0</v>
      </c>
      <c r="O48"/>
      <c r="P48"/>
      <c r="Q48"/>
    </row>
    <row r="49" spans="2:26" s="1" customFormat="1" ht="19.2" customHeight="1" x14ac:dyDescent="0.3">
      <c r="C49" s="15">
        <v>54463</v>
      </c>
      <c r="D49" s="201" t="s">
        <v>114</v>
      </c>
      <c r="E49" s="19">
        <v>18.91</v>
      </c>
      <c r="F49" s="19" t="s">
        <v>55</v>
      </c>
      <c r="G49" s="19" t="s">
        <v>56</v>
      </c>
      <c r="H49" s="16" t="s">
        <v>60</v>
      </c>
      <c r="I49" s="20">
        <v>107</v>
      </c>
      <c r="J49" s="73"/>
      <c r="K49" s="21">
        <f>Table52025[[#This Row],[Finished Cases]]*107</f>
        <v>0</v>
      </c>
      <c r="L49" s="152">
        <f>Table52025[[#This Row],[Finished Cases]]*Table52025[[#This Row],[DF $ Value Per Case]]</f>
        <v>0</v>
      </c>
      <c r="M49" s="27">
        <f>Table52025[[#This Row],[Finished Cases]]*9.24</f>
        <v>0</v>
      </c>
      <c r="N49" s="27">
        <f>Table52025[[#This Row],[Finished Cases]]*4.17</f>
        <v>0</v>
      </c>
      <c r="O49"/>
      <c r="P49"/>
      <c r="Q49"/>
    </row>
    <row r="50" spans="2:26" s="1" customFormat="1" ht="19.5" hidden="1" customHeight="1" x14ac:dyDescent="0.3">
      <c r="C50" s="15">
        <v>54464</v>
      </c>
      <c r="D50" s="201" t="s">
        <v>121</v>
      </c>
      <c r="E50" s="19">
        <v>18.91</v>
      </c>
      <c r="F50" s="19" t="s">
        <v>55</v>
      </c>
      <c r="G50" s="19" t="s">
        <v>56</v>
      </c>
      <c r="H50" s="16" t="s">
        <v>60</v>
      </c>
      <c r="I50" s="20">
        <v>107</v>
      </c>
      <c r="J50" s="73"/>
      <c r="K50" s="21">
        <f>Table52025[[#This Row],[Finished Cases]]*107</f>
        <v>0</v>
      </c>
      <c r="L50" s="152">
        <f>Table52025[[#This Row],[Finished Cases]]*Table52025[[#This Row],[DF $ Value Per Case]]</f>
        <v>0</v>
      </c>
      <c r="M50" s="27">
        <f>Table52025[[#This Row],[Finished Cases]]*9.24</f>
        <v>0</v>
      </c>
      <c r="N50" s="27">
        <f>Table52025[[#This Row],[Finished Cases]]*4.17</f>
        <v>0</v>
      </c>
      <c r="O50"/>
      <c r="P50"/>
      <c r="Q50"/>
    </row>
    <row r="51" spans="2:26" s="1" customFormat="1" ht="18" x14ac:dyDescent="0.35">
      <c r="C51" s="113"/>
      <c r="D51" s="114"/>
      <c r="E51" s="114"/>
      <c r="F51" s="114"/>
      <c r="G51" s="114"/>
      <c r="H51" s="115"/>
      <c r="I51" s="116"/>
      <c r="J51" s="124">
        <f>SUM(Table52025[Finished Cases])</f>
        <v>0</v>
      </c>
      <c r="K51" s="125">
        <f>SUM(Table52025[Total Servings])</f>
        <v>0</v>
      </c>
      <c r="L51" s="126">
        <f>SUBTOTAL(109,Table52025[DF $ Value])</f>
        <v>0</v>
      </c>
      <c r="M51" s="127">
        <f>SUM(Table52025[DF Pounds WHITE])</f>
        <v>0</v>
      </c>
      <c r="N51" s="127">
        <f>SUM(Table52025[DF Pounds DARK])</f>
        <v>0</v>
      </c>
      <c r="O51"/>
      <c r="P51"/>
      <c r="Q51"/>
    </row>
    <row r="52" spans="2:26" s="1" customFormat="1" ht="18" x14ac:dyDescent="0.35">
      <c r="C52" s="113"/>
      <c r="D52" s="114"/>
      <c r="E52" s="114"/>
      <c r="F52" s="114"/>
      <c r="G52" s="114"/>
      <c r="H52" s="115"/>
      <c r="I52" s="116"/>
      <c r="J52" s="172"/>
      <c r="K52" s="173"/>
      <c r="L52" s="143"/>
      <c r="M52" s="141"/>
      <c r="N52" s="141"/>
      <c r="O52"/>
      <c r="P52"/>
      <c r="Q52"/>
    </row>
    <row r="53" spans="2:26" s="1" customFormat="1" ht="47.4" hidden="1" customHeight="1" x14ac:dyDescent="0.35">
      <c r="C53" s="208" t="s">
        <v>88</v>
      </c>
      <c r="D53" s="174"/>
      <c r="E53" s="174"/>
      <c r="F53" s="174"/>
      <c r="G53" s="174"/>
      <c r="H53" s="175"/>
      <c r="I53" s="176"/>
      <c r="J53" s="177"/>
      <c r="K53" s="178"/>
      <c r="L53" s="187"/>
      <c r="M53" s="188"/>
      <c r="N53" s="189"/>
      <c r="O53"/>
      <c r="P53"/>
      <c r="Q53"/>
    </row>
    <row r="54" spans="2:26" s="1" customFormat="1" ht="36" hidden="1" x14ac:dyDescent="0.3">
      <c r="C54" s="181" t="s">
        <v>0</v>
      </c>
      <c r="D54" s="182" t="s">
        <v>1</v>
      </c>
      <c r="E54" s="182" t="s">
        <v>5</v>
      </c>
      <c r="F54" s="182" t="s">
        <v>9</v>
      </c>
      <c r="G54" s="182" t="s">
        <v>8</v>
      </c>
      <c r="H54" s="182" t="s">
        <v>2</v>
      </c>
      <c r="I54" s="181" t="s">
        <v>6</v>
      </c>
      <c r="J54" s="181" t="s">
        <v>20</v>
      </c>
      <c r="K54" s="183" t="s">
        <v>3</v>
      </c>
      <c r="L54" s="183" t="s">
        <v>7</v>
      </c>
      <c r="M54" s="181" t="s">
        <v>10</v>
      </c>
      <c r="N54" s="181" t="s">
        <v>11</v>
      </c>
      <c r="O54"/>
      <c r="P54"/>
      <c r="Q54"/>
    </row>
    <row r="55" spans="2:26" s="1" customFormat="1" ht="19.2" hidden="1" customHeight="1" x14ac:dyDescent="0.3">
      <c r="C55" s="15">
        <v>13424</v>
      </c>
      <c r="D55" s="201" t="s">
        <v>89</v>
      </c>
      <c r="E55" s="194">
        <v>28.9</v>
      </c>
      <c r="F55" s="13" t="s">
        <v>33</v>
      </c>
      <c r="G55" s="19"/>
      <c r="H55" s="14" t="s">
        <v>34</v>
      </c>
      <c r="I55" s="20">
        <v>78</v>
      </c>
      <c r="J55" s="73"/>
      <c r="K55" s="21">
        <f>Table5202512[[#This Row],[Avg. Servings Per Case]]*Table5202512[[#This Row],[Finished Cases]]</f>
        <v>0</v>
      </c>
      <c r="L55" s="152">
        <f>Table5202512[[#This Row],[Finished Cases]]*Table5202512[[#This Row],[DF $ Value Per Case]]</f>
        <v>0</v>
      </c>
      <c r="M55" s="27">
        <f>Table5202512[[#This Row],[Finished Cases]]*20.5</f>
        <v>0</v>
      </c>
      <c r="N55" s="27"/>
      <c r="O55"/>
      <c r="P55"/>
      <c r="Q55"/>
    </row>
    <row r="56" spans="2:26" s="1" customFormat="1" ht="19.2" hidden="1" customHeight="1" x14ac:dyDescent="0.3">
      <c r="C56" s="15">
        <v>13445</v>
      </c>
      <c r="D56" s="192" t="s">
        <v>122</v>
      </c>
      <c r="E56" s="194">
        <v>28.9</v>
      </c>
      <c r="F56" s="13" t="s">
        <v>33</v>
      </c>
      <c r="G56" s="19"/>
      <c r="H56" s="14" t="s">
        <v>34</v>
      </c>
      <c r="I56" s="20">
        <v>78</v>
      </c>
      <c r="J56" s="73"/>
      <c r="K56" s="21">
        <f>Table5202512[[#This Row],[Avg. Servings Per Case]]*Table5202512[[#This Row],[Finished Cases]]</f>
        <v>0</v>
      </c>
      <c r="L56" s="152">
        <f>Table5202512[[#This Row],[Finished Cases]]*Table5202512[[#This Row],[DF $ Value Per Case]]</f>
        <v>0</v>
      </c>
      <c r="M56" s="27">
        <f>Table5202512[[#This Row],[Finished Cases]]*20.5</f>
        <v>0</v>
      </c>
      <c r="N56" s="27"/>
      <c r="O56"/>
      <c r="P56"/>
      <c r="Q56"/>
    </row>
    <row r="57" spans="2:26" s="1" customFormat="1" ht="19.2" hidden="1" customHeight="1" x14ac:dyDescent="0.3">
      <c r="C57" s="15">
        <v>13429</v>
      </c>
      <c r="D57" s="192" t="s">
        <v>90</v>
      </c>
      <c r="E57" s="194">
        <v>28.9</v>
      </c>
      <c r="F57" s="13" t="s">
        <v>33</v>
      </c>
      <c r="G57" s="19"/>
      <c r="H57" s="16" t="s">
        <v>35</v>
      </c>
      <c r="I57" s="20">
        <v>156</v>
      </c>
      <c r="J57" s="73"/>
      <c r="K57" s="21">
        <f>Table5202512[[#This Row],[Avg. Servings Per Case]]*Table5202512[[#This Row],[Finished Cases]]</f>
        <v>0</v>
      </c>
      <c r="L57" s="152">
        <f>Table5202512[[#This Row],[Finished Cases]]*Table5202512[[#This Row],[DF $ Value Per Case]]</f>
        <v>0</v>
      </c>
      <c r="M57" s="27">
        <f>Table5202512[[#This Row],[Finished Cases]]*20.5</f>
        <v>0</v>
      </c>
      <c r="N57" s="27"/>
      <c r="O57"/>
      <c r="P57"/>
      <c r="Q57"/>
    </row>
    <row r="58" spans="2:26" s="1" customFormat="1" ht="19.2" hidden="1" customHeight="1" x14ac:dyDescent="0.3">
      <c r="C58" s="15">
        <v>23409</v>
      </c>
      <c r="D58" s="192" t="s">
        <v>91</v>
      </c>
      <c r="E58" s="194">
        <v>28.9</v>
      </c>
      <c r="F58" s="13" t="s">
        <v>33</v>
      </c>
      <c r="G58" s="19"/>
      <c r="H58" s="16" t="s">
        <v>37</v>
      </c>
      <c r="I58" s="20">
        <v>78</v>
      </c>
      <c r="J58" s="73"/>
      <c r="K58" s="21">
        <f>Table5202512[[#This Row],[Avg. Servings Per Case]]*Table5202512[[#This Row],[Finished Cases]]</f>
        <v>0</v>
      </c>
      <c r="L58" s="152">
        <f>Table5202512[[#This Row],[Finished Cases]]*Table5202512[[#This Row],[DF $ Value Per Case]]</f>
        <v>0</v>
      </c>
      <c r="M58" s="27">
        <f>Table5202512[[#This Row],[Finished Cases]]*20.5</f>
        <v>0</v>
      </c>
      <c r="N58" s="27"/>
      <c r="O58"/>
      <c r="P58"/>
      <c r="Q58"/>
    </row>
    <row r="59" spans="2:26" s="1" customFormat="1" ht="19.2" hidden="1" customHeight="1" x14ac:dyDescent="0.3">
      <c r="C59" s="15">
        <v>43415</v>
      </c>
      <c r="D59" s="192" t="s">
        <v>92</v>
      </c>
      <c r="E59" s="194">
        <v>28.9</v>
      </c>
      <c r="F59" s="13" t="s">
        <v>33</v>
      </c>
      <c r="G59" s="19"/>
      <c r="H59" s="14" t="s">
        <v>34</v>
      </c>
      <c r="I59" s="20">
        <v>78</v>
      </c>
      <c r="J59" s="73"/>
      <c r="K59" s="21">
        <f>Table5202512[[#This Row],[Avg. Servings Per Case]]*Table5202512[[#This Row],[Finished Cases]]</f>
        <v>0</v>
      </c>
      <c r="L59" s="152">
        <f>Table5202512[[#This Row],[Finished Cases]]*Table5202512[[#This Row],[DF $ Value Per Case]]</f>
        <v>0</v>
      </c>
      <c r="M59" s="27">
        <f>Table5202512[[#This Row],[Finished Cases]]*20.5</f>
        <v>0</v>
      </c>
      <c r="N59" s="27"/>
      <c r="O59"/>
      <c r="P59"/>
      <c r="Q59"/>
    </row>
    <row r="60" spans="2:26" s="1" customFormat="1" ht="18" hidden="1" x14ac:dyDescent="0.35">
      <c r="C60" s="113"/>
      <c r="D60" s="114"/>
      <c r="E60" s="114"/>
      <c r="F60" s="114"/>
      <c r="G60" s="114"/>
      <c r="H60" s="115"/>
      <c r="I60" s="116"/>
      <c r="J60" s="124">
        <f>SUM(Table5202512[Finished Cases])</f>
        <v>0</v>
      </c>
      <c r="K60" s="125">
        <f>SUM(Table5202512[Total Servings])</f>
        <v>0</v>
      </c>
      <c r="L60" s="126">
        <f>SUBTOTAL(109,Table5202512[DF $ Value])</f>
        <v>0</v>
      </c>
      <c r="M60" s="127">
        <f>SUM(Table5202512[DF Pounds WHITE])</f>
        <v>0</v>
      </c>
      <c r="N60" s="127">
        <f>SUBTOTAL(109,Table5202512[DF Pounds DARK])</f>
        <v>0</v>
      </c>
      <c r="O60"/>
      <c r="P60"/>
      <c r="Q60"/>
    </row>
    <row r="61" spans="2:26" s="1" customFormat="1" ht="18" x14ac:dyDescent="0.35">
      <c r="C61" s="113"/>
      <c r="D61" s="114"/>
      <c r="E61" s="114"/>
      <c r="F61" s="114"/>
      <c r="G61" s="114"/>
      <c r="H61" s="115"/>
      <c r="I61" s="116"/>
      <c r="J61" s="172"/>
      <c r="K61" s="173"/>
      <c r="L61" s="143"/>
      <c r="M61" s="141"/>
      <c r="N61" s="141"/>
      <c r="O61"/>
      <c r="P61"/>
      <c r="Q61"/>
    </row>
    <row r="62" spans="2:26" s="1" customFormat="1" ht="18" x14ac:dyDescent="0.35">
      <c r="C62" s="113"/>
      <c r="D62" s="114"/>
      <c r="E62" s="114"/>
      <c r="F62" s="114"/>
      <c r="G62" s="114"/>
      <c r="H62" s="115"/>
      <c r="I62" s="116"/>
      <c r="J62" s="172"/>
      <c r="K62" s="173"/>
      <c r="L62" s="143"/>
      <c r="M62" s="141"/>
      <c r="N62" s="141"/>
      <c r="Z62"/>
    </row>
    <row r="63" spans="2:26" s="1" customFormat="1" ht="15" thickBot="1" x14ac:dyDescent="0.35"/>
    <row r="64" spans="2:26" s="1" customFormat="1" ht="39.75" customHeight="1" x14ac:dyDescent="0.3">
      <c r="B64" s="155"/>
      <c r="C64" s="156" t="s">
        <v>128</v>
      </c>
      <c r="D64" s="157"/>
      <c r="E64" s="157"/>
      <c r="F64" s="157"/>
      <c r="G64" s="157"/>
      <c r="H64" s="158"/>
    </row>
    <row r="65" spans="2:26" s="1" customFormat="1" ht="39.75" customHeight="1" thickBot="1" x14ac:dyDescent="0.55000000000000004">
      <c r="B65" s="159"/>
      <c r="C65" s="160" t="s">
        <v>62</v>
      </c>
      <c r="D65" s="169"/>
      <c r="E65" s="162"/>
      <c r="F65" s="162"/>
      <c r="G65" s="162"/>
      <c r="H65" s="163"/>
    </row>
    <row r="66" spans="2:26" s="1" customFormat="1" ht="39.75" customHeight="1" thickBot="1" x14ac:dyDescent="0.55000000000000004">
      <c r="B66" s="159"/>
      <c r="C66" s="160" t="s">
        <v>63</v>
      </c>
      <c r="D66" s="170"/>
      <c r="E66" s="162"/>
      <c r="F66" s="162"/>
      <c r="G66" s="162"/>
      <c r="H66" s="163"/>
    </row>
    <row r="67" spans="2:26" s="1" customFormat="1" ht="39.75" customHeight="1" thickBot="1" x14ac:dyDescent="0.55000000000000004">
      <c r="B67" s="159"/>
      <c r="C67" s="160" t="s">
        <v>64</v>
      </c>
      <c r="D67" s="170"/>
      <c r="E67" s="160" t="s">
        <v>65</v>
      </c>
      <c r="F67" s="169"/>
      <c r="G67" s="160" t="s">
        <v>66</v>
      </c>
      <c r="H67" s="171"/>
    </row>
    <row r="68" spans="2:26" s="1" customFormat="1" ht="39.75" customHeight="1" thickBot="1" x14ac:dyDescent="0.55000000000000004">
      <c r="B68" s="165"/>
      <c r="C68" s="166" t="s">
        <v>67</v>
      </c>
      <c r="D68" s="170"/>
      <c r="E68" s="166" t="s">
        <v>68</v>
      </c>
      <c r="F68" s="169"/>
      <c r="G68" s="161"/>
      <c r="H68" s="164"/>
    </row>
    <row r="69" spans="2:26" s="1" customFormat="1" ht="30" customHeight="1" x14ac:dyDescent="0.3">
      <c r="Z69"/>
    </row>
    <row r="70" spans="2:26" s="1" customFormat="1" ht="15" customHeight="1" x14ac:dyDescent="0.3">
      <c r="Z70"/>
    </row>
    <row r="71" spans="2:26" s="1" customFormat="1" ht="48.75" customHeight="1" x14ac:dyDescent="0.3">
      <c r="E71" s="167"/>
    </row>
    <row r="72" spans="2:26" s="1" customFormat="1" ht="48.75" customHeight="1" x14ac:dyDescent="0.3">
      <c r="E72"/>
    </row>
    <row r="73" spans="2:26" s="1" customFormat="1" ht="15" customHeight="1" x14ac:dyDescent="0.3">
      <c r="E73"/>
    </row>
    <row r="74" spans="2:26" s="1" customFormat="1" ht="15" customHeight="1" x14ac:dyDescent="0.3">
      <c r="E74" s="168"/>
      <c r="S74"/>
    </row>
    <row r="75" spans="2:26" ht="15" customHeight="1" x14ac:dyDescent="0.3">
      <c r="B75" s="1"/>
      <c r="C75" s="1"/>
      <c r="D75" s="1"/>
      <c r="E75" s="168"/>
      <c r="F75" s="1"/>
      <c r="G75" s="1"/>
      <c r="H75" s="1"/>
      <c r="I75" s="1"/>
      <c r="J75" s="1"/>
      <c r="N75" s="1"/>
    </row>
    <row r="76" spans="2:26" s="1" customFormat="1" ht="15" customHeight="1" x14ac:dyDescent="0.3">
      <c r="B76"/>
      <c r="C76"/>
      <c r="D76"/>
      <c r="E76" s="134"/>
      <c r="F76"/>
      <c r="G76"/>
      <c r="H76"/>
      <c r="I76"/>
      <c r="J76"/>
      <c r="N76"/>
    </row>
    <row r="77" spans="2:26" s="1" customFormat="1" ht="15" customHeight="1" x14ac:dyDescent="0.3">
      <c r="E77" s="134" t="s">
        <v>28</v>
      </c>
    </row>
    <row r="78" spans="2:26" s="1" customFormat="1" ht="15" customHeight="1" x14ac:dyDescent="0.3"/>
    <row r="79" spans="2:26" s="1" customFormat="1" ht="15" customHeight="1" x14ac:dyDescent="0.3"/>
    <row r="80" spans="2:26" s="1" customFormat="1" ht="15" customHeight="1" x14ac:dyDescent="0.3"/>
    <row r="81" spans="2:17" s="1" customFormat="1" ht="15" customHeight="1" x14ac:dyDescent="0.3"/>
    <row r="82" spans="2:17" s="1" customFormat="1" ht="15" customHeight="1" x14ac:dyDescent="0.3">
      <c r="C82"/>
      <c r="D82"/>
      <c r="O82"/>
      <c r="P82"/>
      <c r="Q82"/>
    </row>
    <row r="83" spans="2:17" s="1" customFormat="1" ht="15" customHeight="1" x14ac:dyDescent="0.3">
      <c r="C83"/>
      <c r="D83"/>
      <c r="E83"/>
      <c r="F83"/>
      <c r="G83"/>
      <c r="H83"/>
      <c r="I83"/>
      <c r="J83"/>
      <c r="N83"/>
    </row>
    <row r="84" spans="2:17" s="1" customFormat="1" ht="15" customHeight="1" x14ac:dyDescent="0.3"/>
    <row r="85" spans="2:17" s="1" customFormat="1" ht="15" customHeight="1" x14ac:dyDescent="0.3"/>
    <row r="86" spans="2:17" s="1" customFormat="1" ht="15" customHeight="1" x14ac:dyDescent="0.3"/>
    <row r="87" spans="2:17" s="1" customFormat="1" ht="15" customHeight="1" x14ac:dyDescent="0.3"/>
    <row r="88" spans="2:17" s="1" customFormat="1" ht="15.75" customHeight="1" x14ac:dyDescent="0.3"/>
    <row r="89" spans="2:17" s="1" customFormat="1" ht="15" customHeight="1" x14ac:dyDescent="0.3"/>
    <row r="90" spans="2:17" s="1" customFormat="1" ht="15" customHeight="1" x14ac:dyDescent="0.3"/>
    <row r="91" spans="2:17" s="1" customFormat="1" ht="15" customHeight="1" x14ac:dyDescent="0.3"/>
    <row r="92" spans="2:17" ht="15" customHeight="1" x14ac:dyDescent="0.3">
      <c r="B92" s="1"/>
      <c r="C92" s="1"/>
      <c r="D92" s="1"/>
      <c r="E92" s="1"/>
      <c r="F92" s="1"/>
      <c r="G92" s="1"/>
      <c r="H92" s="1"/>
      <c r="I92" s="1"/>
      <c r="J92" s="1"/>
      <c r="N92" s="1"/>
      <c r="O92" s="1"/>
      <c r="P92" s="1"/>
      <c r="Q92" s="1"/>
    </row>
    <row r="93" spans="2:17" ht="15" customHeight="1" x14ac:dyDescent="0.3">
      <c r="C93" s="1"/>
      <c r="D93" s="1"/>
      <c r="E93" s="1"/>
      <c r="F93" s="1"/>
      <c r="G93" s="1"/>
      <c r="H93" s="1"/>
      <c r="I93" s="1"/>
      <c r="J93" s="1"/>
      <c r="N93" s="1"/>
      <c r="O93" s="1"/>
      <c r="P93" s="1"/>
      <c r="Q93" s="1"/>
    </row>
    <row r="94" spans="2:17" ht="15" customHeight="1" x14ac:dyDescent="0.3">
      <c r="C94" s="1"/>
      <c r="D94" s="1"/>
      <c r="E94" s="1"/>
      <c r="F94" s="1"/>
      <c r="G94" s="1"/>
      <c r="H94" s="1"/>
      <c r="I94" s="1"/>
      <c r="J94" s="1"/>
      <c r="N94" s="1"/>
      <c r="O94" s="1"/>
      <c r="P94" s="1"/>
      <c r="Q94" s="1"/>
    </row>
    <row r="95" spans="2:17" ht="15" customHeight="1" x14ac:dyDescent="0.3">
      <c r="C95" s="1"/>
      <c r="D95" s="1"/>
      <c r="E95" s="1"/>
      <c r="F95" s="1"/>
      <c r="G95" s="1"/>
      <c r="H95" s="1"/>
      <c r="I95" s="1"/>
      <c r="J95" s="1"/>
      <c r="N95" s="1"/>
      <c r="O95" s="1"/>
      <c r="P95" s="1"/>
      <c r="Q95" s="1"/>
    </row>
    <row r="96" spans="2:17" ht="15" customHeight="1" x14ac:dyDescent="0.3">
      <c r="C96" s="1"/>
      <c r="D96" s="1"/>
      <c r="E96" s="1"/>
      <c r="F96" s="1"/>
      <c r="G96" s="1"/>
      <c r="H96" s="1"/>
      <c r="I96" s="1"/>
      <c r="J96" s="1"/>
      <c r="N96" s="1"/>
      <c r="O96" s="1"/>
      <c r="P96" s="1"/>
      <c r="Q96" s="1"/>
    </row>
    <row r="97" spans="3:17" ht="15" customHeight="1" x14ac:dyDescent="0.3">
      <c r="C97" s="1"/>
      <c r="D97" s="1"/>
      <c r="E97" s="1"/>
      <c r="F97" s="1"/>
      <c r="G97" s="1"/>
      <c r="H97" s="1"/>
      <c r="I97" s="1"/>
      <c r="J97" s="1"/>
      <c r="N97" s="1"/>
      <c r="O97" s="1"/>
      <c r="P97" s="1"/>
      <c r="Q97" s="1"/>
    </row>
    <row r="98" spans="3:17" ht="15" customHeight="1" x14ac:dyDescent="0.3">
      <c r="C98" s="1"/>
      <c r="D98" s="1"/>
      <c r="E98" s="1"/>
      <c r="F98" s="1"/>
      <c r="G98" s="1"/>
      <c r="H98" s="1"/>
      <c r="I98" s="1"/>
      <c r="J98" s="1"/>
      <c r="N98" s="1"/>
      <c r="O98" s="1"/>
      <c r="P98" s="1"/>
      <c r="Q98" s="1"/>
    </row>
    <row r="99" spans="3:17" ht="15" customHeight="1" x14ac:dyDescent="0.3">
      <c r="C99" s="4"/>
      <c r="D99" s="1"/>
      <c r="E99" s="1"/>
      <c r="F99" s="1"/>
      <c r="G99" s="1"/>
      <c r="H99" s="1"/>
      <c r="I99" s="1"/>
      <c r="J99" s="1"/>
      <c r="N99" s="1"/>
    </row>
    <row r="100" spans="3:17" ht="15" customHeight="1" x14ac:dyDescent="0.3"/>
    <row r="101" spans="3:17" ht="15" customHeight="1" x14ac:dyDescent="0.3"/>
    <row r="102" spans="3:17" ht="15" customHeight="1" x14ac:dyDescent="0.3"/>
    <row r="103" spans="3:17" ht="15" customHeight="1" x14ac:dyDescent="0.3"/>
    <row r="104" spans="3:17" ht="15" customHeight="1" x14ac:dyDescent="0.3">
      <c r="L104"/>
      <c r="M104"/>
    </row>
    <row r="105" spans="3:17" ht="15" customHeight="1" x14ac:dyDescent="0.3">
      <c r="L105"/>
      <c r="M105"/>
    </row>
    <row r="106" spans="3:17" ht="15" customHeight="1" x14ac:dyDescent="0.3"/>
    <row r="107" spans="3:17" ht="15" customHeight="1" x14ac:dyDescent="0.3"/>
    <row r="108" spans="3:17" ht="15" customHeight="1" x14ac:dyDescent="0.3"/>
    <row r="109" spans="3:17" ht="15" customHeight="1" x14ac:dyDescent="0.3"/>
    <row r="110" spans="3:17" ht="15" customHeight="1" x14ac:dyDescent="0.3"/>
    <row r="111" spans="3:17" ht="15" customHeight="1" x14ac:dyDescent="0.3"/>
    <row r="112" spans="3:17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</sheetData>
  <sheetProtection algorithmName="SHA-512" hashValue="JDGSZJk9gqyIm2Wv27eQOBGZh6OuyzJ3sIWnlNtLsnJ1lgcE7bAikyBR6UItlxP6YWumxlqL8Qw/35zQn17+0g==" saltValue="iUK2dXYp8xKK2ftcV1zIbQ==" spinCount="100000" sheet="1" objects="1" scenarios="1" selectLockedCells="1"/>
  <mergeCells count="1">
    <mergeCell ref="C8:D8"/>
  </mergeCells>
  <conditionalFormatting sqref="J14:J21">
    <cfRule type="expression" dxfId="322" priority="22">
      <formula>$J$11&lt;-1</formula>
    </cfRule>
  </conditionalFormatting>
  <conditionalFormatting sqref="J23:J28">
    <cfRule type="expression" dxfId="321" priority="2">
      <formula>$J$11&lt;-1</formula>
    </cfRule>
  </conditionalFormatting>
  <conditionalFormatting sqref="J34:J38">
    <cfRule type="expression" dxfId="320" priority="5">
      <formula>($M$31+$M$32)&lt;0</formula>
    </cfRule>
  </conditionalFormatting>
  <conditionalFormatting sqref="J45:J50">
    <cfRule type="expression" dxfId="319" priority="11">
      <formula>$M$43&lt;-0.5</formula>
    </cfRule>
  </conditionalFormatting>
  <conditionalFormatting sqref="J55:J59">
    <cfRule type="expression" dxfId="318" priority="1">
      <formula>$M$43&lt;-0.5</formula>
    </cfRule>
  </conditionalFormatting>
  <printOptions horizontalCentered="1" verticalCentered="1"/>
  <pageMargins left="0" right="0" top="0" bottom="0" header="0" footer="0"/>
  <pageSetup scale="43" orientation="landscape" verticalDpi="4294967295" r:id="rId1"/>
  <colBreaks count="1" manualBreakCount="1">
    <brk id="8" max="1048575" man="1"/>
  </colBreaks>
  <drawing r:id="rId2"/>
  <legacyDrawing r:id="rId3"/>
  <tableParts count="4"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14"/>
  <sheetViews>
    <sheetView topLeftCell="B1" zoomScale="70" zoomScaleNormal="70" workbookViewId="0">
      <selection activeCell="C64" sqref="C64"/>
    </sheetView>
  </sheetViews>
  <sheetFormatPr defaultColWidth="9.109375" defaultRowHeight="14.4" x14ac:dyDescent="0.3"/>
  <cols>
    <col min="1" max="1" width="0" hidden="1" customWidth="1"/>
    <col min="2" max="2" width="9.109375" customWidth="1"/>
    <col min="3" max="3" width="13.5546875" customWidth="1"/>
    <col min="4" max="4" width="80.6640625" customWidth="1"/>
    <col min="5" max="5" width="22.6640625" customWidth="1"/>
    <col min="6" max="6" width="16.109375" customWidth="1"/>
    <col min="7" max="10" width="10.6640625" customWidth="1"/>
    <col min="11" max="13" width="10.6640625" style="1" customWidth="1"/>
    <col min="14" max="18" width="10.6640625" customWidth="1"/>
    <col min="19" max="19" width="13.5546875" style="200" bestFit="1" customWidth="1"/>
    <col min="20" max="20" width="28.6640625" customWidth="1"/>
    <col min="21" max="22" width="21.6640625" customWidth="1"/>
    <col min="23" max="25" width="9.109375" customWidth="1"/>
    <col min="26" max="26" width="21.44140625" customWidth="1"/>
    <col min="27" max="30" width="9.109375" customWidth="1"/>
  </cols>
  <sheetData>
    <row r="1" spans="3:19" ht="22.5" customHeight="1" x14ac:dyDescent="0.35">
      <c r="Q1" s="5"/>
    </row>
    <row r="2" spans="3:19" ht="22.5" customHeight="1" x14ac:dyDescent="0.35">
      <c r="Q2" s="5"/>
    </row>
    <row r="3" spans="3:19" ht="22.5" customHeight="1" x14ac:dyDescent="0.35">
      <c r="E3" s="9"/>
      <c r="F3" s="7"/>
      <c r="Q3" s="5"/>
    </row>
    <row r="4" spans="3:19" ht="22.5" customHeight="1" x14ac:dyDescent="0.6">
      <c r="E4" s="8"/>
      <c r="Q4" s="5"/>
    </row>
    <row r="5" spans="3:19" ht="22.5" customHeight="1" x14ac:dyDescent="0.35">
      <c r="Q5" s="5"/>
    </row>
    <row r="6" spans="3:19" ht="22.5" customHeight="1" x14ac:dyDescent="0.35">
      <c r="Q6" s="5"/>
    </row>
    <row r="7" spans="3:19" ht="22.5" customHeight="1" x14ac:dyDescent="0.35">
      <c r="Q7" s="5"/>
    </row>
    <row r="8" spans="3:19" ht="22.5" customHeight="1" x14ac:dyDescent="0.35">
      <c r="Q8" s="5"/>
    </row>
    <row r="9" spans="3:19" ht="22.5" customHeight="1" x14ac:dyDescent="0.35">
      <c r="E9" s="23"/>
      <c r="F9" s="2"/>
      <c r="Q9" s="5"/>
    </row>
    <row r="10" spans="3:19" ht="22.5" customHeight="1" x14ac:dyDescent="0.35">
      <c r="E10" s="23"/>
      <c r="F10" s="2"/>
      <c r="Q10" s="5"/>
    </row>
    <row r="11" spans="3:19" ht="49.5" customHeight="1" x14ac:dyDescent="0.3">
      <c r="C11" s="216" t="s">
        <v>84</v>
      </c>
      <c r="D11" s="216"/>
      <c r="E11" s="216"/>
      <c r="F11" s="216"/>
      <c r="G11" s="67"/>
      <c r="H11" s="67"/>
      <c r="I11" s="68"/>
      <c r="J11" s="67"/>
      <c r="K11" s="67"/>
      <c r="L11" s="67"/>
      <c r="M11" s="24"/>
      <c r="N11" s="25"/>
      <c r="O11" s="25"/>
      <c r="P11" s="25"/>
      <c r="Q11" s="25"/>
      <c r="R11" s="25"/>
      <c r="S11" s="24"/>
    </row>
    <row r="12" spans="3:19" s="5" customFormat="1" ht="64.5" customHeight="1" x14ac:dyDescent="0.35">
      <c r="C12" s="56" t="s">
        <v>0</v>
      </c>
      <c r="D12" s="57" t="s">
        <v>1</v>
      </c>
      <c r="E12" s="56" t="s">
        <v>6</v>
      </c>
      <c r="F12" s="56" t="s">
        <v>83</v>
      </c>
      <c r="G12" s="56" t="s">
        <v>70</v>
      </c>
      <c r="H12" s="56" t="s">
        <v>71</v>
      </c>
      <c r="I12" s="56" t="s">
        <v>72</v>
      </c>
      <c r="J12" s="56" t="s">
        <v>73</v>
      </c>
      <c r="K12" s="56" t="s">
        <v>74</v>
      </c>
      <c r="L12" s="56" t="s">
        <v>75</v>
      </c>
      <c r="M12" s="56" t="s">
        <v>76</v>
      </c>
      <c r="N12" s="56" t="s">
        <v>77</v>
      </c>
      <c r="O12" s="56" t="s">
        <v>78</v>
      </c>
      <c r="P12" s="56" t="s">
        <v>79</v>
      </c>
      <c r="Q12" s="56" t="s">
        <v>80</v>
      </c>
      <c r="R12" s="56" t="s">
        <v>81</v>
      </c>
      <c r="S12" s="56" t="s">
        <v>82</v>
      </c>
    </row>
    <row r="13" spans="3:19" s="10" customFormat="1" ht="20.100000000000001" customHeight="1" x14ac:dyDescent="0.3">
      <c r="C13" s="191" t="s">
        <v>86</v>
      </c>
      <c r="D13" s="35"/>
      <c r="E13" s="37"/>
      <c r="F13" s="36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7"/>
    </row>
    <row r="14" spans="3:19" s="10" customFormat="1" ht="20.100000000000001" customHeight="1" x14ac:dyDescent="0.3">
      <c r="C14" s="12">
        <v>13440</v>
      </c>
      <c r="D14" s="201" t="s">
        <v>95</v>
      </c>
      <c r="E14" s="32">
        <v>78</v>
      </c>
      <c r="F14" s="32">
        <f>SUM(Table419[[#This Row],[Finished Cases]],Table41922[[#This Row],[Finished Cases]])-Table41918[[#This Row],[Total Cases]]</f>
        <v>0</v>
      </c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195">
        <f>SUM(Table41918[[#This Row],[Jul]:[Jun]])</f>
        <v>0</v>
      </c>
    </row>
    <row r="15" spans="3:19" s="10" customFormat="1" ht="20.100000000000001" customHeight="1" x14ac:dyDescent="0.3">
      <c r="C15" s="15">
        <v>13410</v>
      </c>
      <c r="D15" s="201" t="s">
        <v>115</v>
      </c>
      <c r="E15" s="32">
        <v>78</v>
      </c>
      <c r="F15" s="32">
        <f>SUM(Table419[[#This Row],[Finished Cases]],Table41922[[#This Row],[Finished Cases]])-Table41918[[#This Row],[Total Cases]]</f>
        <v>0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195">
        <f>SUM(Table41918[[#This Row],[Jul]:[Jun]])</f>
        <v>0</v>
      </c>
    </row>
    <row r="16" spans="3:19" s="10" customFormat="1" ht="20.100000000000001" customHeight="1" x14ac:dyDescent="0.3">
      <c r="C16" s="15">
        <v>13443</v>
      </c>
      <c r="D16" s="201" t="s">
        <v>116</v>
      </c>
      <c r="E16" s="32">
        <v>78</v>
      </c>
      <c r="F16" s="32">
        <f>SUM(Table419[[#This Row],[Finished Cases]],Table41922[[#This Row],[Finished Cases]])-Table41918[[#This Row],[Total Cases]]</f>
        <v>0</v>
      </c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195">
        <f>SUM(Table41918[[#This Row],[Jul]:[Jun]])</f>
        <v>0</v>
      </c>
    </row>
    <row r="17" spans="3:19" s="10" customFormat="1" ht="20.100000000000001" customHeight="1" x14ac:dyDescent="0.3">
      <c r="C17" s="15">
        <v>13441</v>
      </c>
      <c r="D17" s="201" t="s">
        <v>96</v>
      </c>
      <c r="E17" s="20">
        <v>156</v>
      </c>
      <c r="F17" s="32">
        <f>SUM(Table419[[#This Row],[Finished Cases]],Table41922[[#This Row],[Finished Cases]])-Table41918[[#This Row],[Total Cases]]</f>
        <v>0</v>
      </c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195">
        <f>SUM(Table41918[[#This Row],[Jul]:[Jun]])</f>
        <v>0</v>
      </c>
    </row>
    <row r="18" spans="3:19" s="10" customFormat="1" ht="20.100000000000001" customHeight="1" x14ac:dyDescent="0.3">
      <c r="C18" s="15">
        <v>23415</v>
      </c>
      <c r="D18" s="201" t="s">
        <v>97</v>
      </c>
      <c r="E18" s="20">
        <v>78</v>
      </c>
      <c r="F18" s="32">
        <f>SUM(Table419[[#This Row],[Finished Cases]],Table41922[[#This Row],[Finished Cases]])-Table41918[[#This Row],[Total Cases]]</f>
        <v>0</v>
      </c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195">
        <f>SUM(Table41918[[#This Row],[Jul]:[Jun]])</f>
        <v>0</v>
      </c>
    </row>
    <row r="19" spans="3:19" s="10" customFormat="1" ht="20.100000000000001" customHeight="1" x14ac:dyDescent="0.3">
      <c r="C19" s="15">
        <v>23417</v>
      </c>
      <c r="D19" s="201" t="s">
        <v>117</v>
      </c>
      <c r="E19" s="20">
        <v>78</v>
      </c>
      <c r="F19" s="32">
        <f>SUM(Table419[[#This Row],[Finished Cases]],Table41922[[#This Row],[Finished Cases]])-Table41918[[#This Row],[Total Cases]]</f>
        <v>0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195">
        <f>SUM(Table41918[[#This Row],[Jul]:[Jun]])</f>
        <v>0</v>
      </c>
    </row>
    <row r="20" spans="3:19" s="10" customFormat="1" ht="20.100000000000001" customHeight="1" x14ac:dyDescent="0.3">
      <c r="C20" s="17">
        <v>43424</v>
      </c>
      <c r="D20" s="201" t="s">
        <v>98</v>
      </c>
      <c r="E20" s="43">
        <v>78</v>
      </c>
      <c r="F20" s="32">
        <f>SUM(Table419[[#This Row],[Finished Cases]],Table41922[[#This Row],[Finished Cases]])-Table41918[[#This Row],[Total Cases]]</f>
        <v>0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195">
        <f>SUM(Table41918[[#This Row],[Jul]:[Jun]])</f>
        <v>0</v>
      </c>
    </row>
    <row r="21" spans="3:19" s="10" customFormat="1" ht="20.100000000000001" customHeight="1" x14ac:dyDescent="0.3">
      <c r="C21" s="17">
        <v>43404</v>
      </c>
      <c r="D21" s="201" t="s">
        <v>118</v>
      </c>
      <c r="E21" s="43">
        <v>78</v>
      </c>
      <c r="F21" s="32">
        <f>SUM(Table419[[#This Row],[Finished Cases]],Table41922[[#This Row],[Finished Cases]])-Table41918[[#This Row],[Total Cases]]</f>
        <v>0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195">
        <f>SUM(Table41918[[#This Row],[Jul]:[Jun]])</f>
        <v>0</v>
      </c>
    </row>
    <row r="22" spans="3:19" s="10" customFormat="1" ht="20.100000000000001" customHeight="1" x14ac:dyDescent="0.3">
      <c r="C22" s="191" t="s">
        <v>85</v>
      </c>
      <c r="D22" s="45"/>
      <c r="E22" s="47"/>
      <c r="F22" s="4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7"/>
    </row>
    <row r="23" spans="3:19" s="10" customFormat="1" ht="20.100000000000001" customHeight="1" x14ac:dyDescent="0.3">
      <c r="C23" s="12">
        <v>56404</v>
      </c>
      <c r="D23" s="201" t="s">
        <v>99</v>
      </c>
      <c r="E23" s="44">
        <v>114</v>
      </c>
      <c r="F23" s="202">
        <f>SUM(Table419[[#This Row],[Finished Cases]],Table41922[[#This Row],[Finished Cases]])-Table41918[[#This Row],[Total Cases]]</f>
        <v>0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195">
        <f>SUM(Table41918[[#This Row],[Jul]:[Jun]])</f>
        <v>0</v>
      </c>
    </row>
    <row r="24" spans="3:19" s="10" customFormat="1" ht="19.5" customHeight="1" x14ac:dyDescent="0.3">
      <c r="C24" s="12">
        <v>54485</v>
      </c>
      <c r="D24" s="201" t="s">
        <v>100</v>
      </c>
      <c r="E24" s="44">
        <v>76</v>
      </c>
      <c r="F24" s="202">
        <f>SUM(Table419[[#This Row],[Finished Cases]],Table41922[[#This Row],[Finished Cases]])-Table41918[[#This Row],[Total Cases]]</f>
        <v>0</v>
      </c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195">
        <f>SUM(Table41918[[#This Row],[Jul]:[Jun]])</f>
        <v>0</v>
      </c>
    </row>
    <row r="25" spans="3:19" s="5" customFormat="1" ht="19.5" customHeight="1" x14ac:dyDescent="0.35">
      <c r="C25" s="15">
        <v>54486</v>
      </c>
      <c r="D25" s="201" t="s">
        <v>101</v>
      </c>
      <c r="E25" s="31">
        <v>78</v>
      </c>
      <c r="F25" s="202">
        <f>SUM(Table419[[#This Row],[Finished Cases]],Table41922[[#This Row],[Finished Cases]])-Table41918[[#This Row],[Total Cases]]</f>
        <v>0</v>
      </c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195">
        <f>SUM(Table41918[[#This Row],[Jul]:[Jun]])</f>
        <v>0</v>
      </c>
    </row>
    <row r="26" spans="3:19" ht="19.5" customHeight="1" x14ac:dyDescent="0.3">
      <c r="C26" s="15">
        <v>54487</v>
      </c>
      <c r="D26" s="201" t="s">
        <v>102</v>
      </c>
      <c r="E26" s="31">
        <v>76</v>
      </c>
      <c r="F26" s="202">
        <f>SUM(Table419[[#This Row],[Finished Cases]],Table41922[[#This Row],[Finished Cases]])-Table41918[[#This Row],[Total Cases]]</f>
        <v>0</v>
      </c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195">
        <f>SUM(Table41918[[#This Row],[Jul]:[Jun]])</f>
        <v>0</v>
      </c>
    </row>
    <row r="27" spans="3:19" ht="19.5" customHeight="1" x14ac:dyDescent="0.3">
      <c r="C27" s="15">
        <v>54496</v>
      </c>
      <c r="D27" s="201" t="s">
        <v>119</v>
      </c>
      <c r="E27" s="31">
        <v>78</v>
      </c>
      <c r="F27" s="202">
        <f>SUM(Table419[[#This Row],[Finished Cases]],Table41922[[#This Row],[Finished Cases]])-Table41918[[#This Row],[Total Cases]]</f>
        <v>0</v>
      </c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195">
        <f>SUM(Table41918[[#This Row],[Jul]:[Jun]])</f>
        <v>0</v>
      </c>
    </row>
    <row r="28" spans="3:19" ht="19.5" customHeight="1" x14ac:dyDescent="0.3">
      <c r="C28" s="15">
        <v>54497</v>
      </c>
      <c r="D28" s="201" t="s">
        <v>120</v>
      </c>
      <c r="E28" s="31">
        <v>77</v>
      </c>
      <c r="F28" s="202">
        <f>SUM(Table419[[#This Row],[Finished Cases]],Table41922[[#This Row],[Finished Cases]])-Table41918[[#This Row],[Total Cases]]</f>
        <v>0</v>
      </c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195">
        <f>SUM(Table41918[[#This Row],[Jul]:[Jun]])</f>
        <v>0</v>
      </c>
    </row>
    <row r="29" spans="3:19" ht="19.5" customHeight="1" x14ac:dyDescent="0.3">
      <c r="C29" s="113"/>
      <c r="D29" s="114"/>
      <c r="E29" s="116"/>
      <c r="F29" s="115"/>
      <c r="G29" s="203">
        <f>SUBTOTAL(109,Table41918[Jul])</f>
        <v>0</v>
      </c>
      <c r="H29" s="203">
        <f>SUBTOTAL(109,Table41918[Aug])</f>
        <v>0</v>
      </c>
      <c r="I29" s="203">
        <f>SUBTOTAL(109,Table41918[Sep])</f>
        <v>0</v>
      </c>
      <c r="J29" s="203">
        <f>SUBTOTAL(109,Table41918[Oct])</f>
        <v>0</v>
      </c>
      <c r="K29" s="203">
        <f>SUBTOTAL(109,Table41918[Nov])</f>
        <v>0</v>
      </c>
      <c r="L29" s="203">
        <f>SUBTOTAL(109,Table41918[Dec])</f>
        <v>0</v>
      </c>
      <c r="M29" s="203">
        <f>SUBTOTAL(109,Table41918[Jan])</f>
        <v>0</v>
      </c>
      <c r="N29" s="203">
        <f>SUBTOTAL(109,Table41918[Feb])</f>
        <v>0</v>
      </c>
      <c r="O29" s="203">
        <f>SUBTOTAL(109,Table41918[Mar])</f>
        <v>0</v>
      </c>
      <c r="P29" s="203">
        <f>SUBTOTAL(109,Table41918[Apr])</f>
        <v>0</v>
      </c>
      <c r="Q29" s="203">
        <f>SUBTOTAL(109,Table41918[May])</f>
        <v>0</v>
      </c>
      <c r="R29" s="203">
        <f>SUBTOTAL(109,Table41918[Jun])</f>
        <v>0</v>
      </c>
      <c r="S29" s="204">
        <f>SUBTOTAL(109,Table41918[Total Cases])</f>
        <v>0</v>
      </c>
    </row>
    <row r="30" spans="3:19" ht="19.5" customHeight="1" x14ac:dyDescent="0.35">
      <c r="C30" s="113"/>
      <c r="D30" s="114"/>
      <c r="E30" s="114"/>
      <c r="F30" s="114"/>
      <c r="G30" s="114"/>
      <c r="H30" s="115"/>
      <c r="I30" s="116"/>
      <c r="J30" s="116"/>
      <c r="K30" s="116"/>
      <c r="L30" s="133"/>
      <c r="M30" s="142"/>
      <c r="N30" s="138"/>
      <c r="O30" s="139"/>
      <c r="P30" s="140"/>
      <c r="Q30" s="5"/>
    </row>
    <row r="31" spans="3:19" s="10" customFormat="1" ht="45" customHeight="1" x14ac:dyDescent="0.3">
      <c r="C31" s="77" t="s">
        <v>87</v>
      </c>
      <c r="D31" s="77"/>
      <c r="E31" s="145"/>
      <c r="F31" s="145"/>
      <c r="G31" s="80"/>
      <c r="H31" s="78"/>
      <c r="I31" s="145"/>
      <c r="J31" s="145"/>
      <c r="K31" s="80"/>
      <c r="L31" s="78"/>
      <c r="M31" s="3"/>
      <c r="N31" s="3"/>
      <c r="O31" s="80"/>
      <c r="P31" s="78"/>
      <c r="Q31" s="78"/>
      <c r="R31" s="78"/>
      <c r="S31" s="205"/>
    </row>
    <row r="32" spans="3:19" ht="54" x14ac:dyDescent="0.3">
      <c r="C32" s="53" t="s">
        <v>0</v>
      </c>
      <c r="D32" s="54" t="s">
        <v>1</v>
      </c>
      <c r="E32" s="53" t="s">
        <v>6</v>
      </c>
      <c r="F32" s="53" t="s">
        <v>83</v>
      </c>
      <c r="G32" s="53" t="s">
        <v>70</v>
      </c>
      <c r="H32" s="53" t="s">
        <v>71</v>
      </c>
      <c r="I32" s="53" t="s">
        <v>72</v>
      </c>
      <c r="J32" s="53" t="s">
        <v>73</v>
      </c>
      <c r="K32" s="53" t="s">
        <v>74</v>
      </c>
      <c r="L32" s="53" t="s">
        <v>75</v>
      </c>
      <c r="M32" s="53" t="s">
        <v>76</v>
      </c>
      <c r="N32" s="53" t="s">
        <v>77</v>
      </c>
      <c r="O32" s="53" t="s">
        <v>78</v>
      </c>
      <c r="P32" s="53" t="s">
        <v>79</v>
      </c>
      <c r="Q32" s="53" t="s">
        <v>80</v>
      </c>
      <c r="R32" s="53" t="s">
        <v>81</v>
      </c>
      <c r="S32" s="53" t="s">
        <v>82</v>
      </c>
    </row>
    <row r="33" spans="3:19" ht="20.25" customHeight="1" x14ac:dyDescent="0.3">
      <c r="C33" s="15">
        <v>81401</v>
      </c>
      <c r="D33" s="201" t="s">
        <v>103</v>
      </c>
      <c r="E33" s="20">
        <v>232</v>
      </c>
      <c r="F33" s="20">
        <f>SUM('Servings to DF Pounds'!L34,'Cases to DF Pounds'!J34)-Table5202220[[#This Row],[Total Cases]]</f>
        <v>0</v>
      </c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195">
        <f>SUM(Table5202220[[#This Row],[Jul]:[Jun]])</f>
        <v>0</v>
      </c>
    </row>
    <row r="34" spans="3:19" s="5" customFormat="1" ht="20.25" customHeight="1" x14ac:dyDescent="0.35">
      <c r="C34" s="15">
        <v>94403</v>
      </c>
      <c r="D34" s="201" t="s">
        <v>104</v>
      </c>
      <c r="E34" s="20">
        <v>77</v>
      </c>
      <c r="F34" s="20">
        <f>SUM('Servings to DF Pounds'!L35,'Cases to DF Pounds'!J35)-Table5202220[[#This Row],[Total Cases]]</f>
        <v>0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95">
        <f>SUM(Table5202220[[#This Row],[Jul]:[Jun]])</f>
        <v>0</v>
      </c>
    </row>
    <row r="35" spans="3:19" s="10" customFormat="1" ht="20.25" customHeight="1" x14ac:dyDescent="0.3">
      <c r="C35" s="15">
        <v>91401</v>
      </c>
      <c r="D35" s="201" t="s">
        <v>105</v>
      </c>
      <c r="E35" s="20">
        <v>123</v>
      </c>
      <c r="F35" s="20">
        <f>SUM('Servings to DF Pounds'!L36,'Cases to DF Pounds'!J36)-Table5202220[[#This Row],[Total Cases]]</f>
        <v>0</v>
      </c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195">
        <f>SUM(Table5202220[[#This Row],[Jul]:[Jun]])</f>
        <v>0</v>
      </c>
    </row>
    <row r="36" spans="3:19" s="10" customFormat="1" ht="20.25" customHeight="1" x14ac:dyDescent="0.3">
      <c r="C36" s="15">
        <v>91402</v>
      </c>
      <c r="D36" s="201" t="s">
        <v>106</v>
      </c>
      <c r="E36" s="20">
        <v>123</v>
      </c>
      <c r="F36" s="20">
        <f>SUM('Servings to DF Pounds'!L37,'Cases to DF Pounds'!J37)-Table5202220[[#This Row],[Total Cases]]</f>
        <v>0</v>
      </c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195">
        <f>SUM(Table5202220[[#This Row],[Jul]:[Jun]])</f>
        <v>0</v>
      </c>
    </row>
    <row r="37" spans="3:19" s="10" customFormat="1" ht="20.25" customHeight="1" x14ac:dyDescent="0.3">
      <c r="C37" s="15">
        <v>91409</v>
      </c>
      <c r="D37" s="201" t="s">
        <v>107</v>
      </c>
      <c r="E37" s="20">
        <v>123</v>
      </c>
      <c r="F37" s="20">
        <f>SUM('Servings to DF Pounds'!L38,'Cases to DF Pounds'!J38)-Table5202220[[#This Row],[Total Cases]]</f>
        <v>0</v>
      </c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195">
        <f>SUM(Table5202220[[#This Row],[Jul]:[Jun]])</f>
        <v>0</v>
      </c>
    </row>
    <row r="38" spans="3:19" s="10" customFormat="1" ht="20.25" customHeight="1" x14ac:dyDescent="0.3">
      <c r="C38" s="15">
        <v>91410</v>
      </c>
      <c r="D38" s="201" t="s">
        <v>108</v>
      </c>
      <c r="E38" s="20">
        <v>123</v>
      </c>
      <c r="F38" s="20">
        <f>SUM('Servings to DF Pounds'!L39,'Cases to DF Pounds'!J39)-Table5202220[[#This Row],[Total Cases]]</f>
        <v>0</v>
      </c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195">
        <f>SUM(Table5202220[[#This Row],[Jul]:[Jun]])</f>
        <v>0</v>
      </c>
    </row>
    <row r="39" spans="3:19" s="10" customFormat="1" ht="20.25" customHeight="1" x14ac:dyDescent="0.3">
      <c r="C39" s="15">
        <v>37101</v>
      </c>
      <c r="D39" s="201" t="s">
        <v>109</v>
      </c>
      <c r="E39" s="20">
        <v>123</v>
      </c>
      <c r="F39" s="20">
        <f>SUM('Servings to DF Pounds'!L40,'Cases to DF Pounds'!J40)-Table5202220[[#This Row],[Total Cases]]</f>
        <v>0</v>
      </c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198">
        <f>SUM(Table5202220[[#This Row],[Jul]:[Jun]])</f>
        <v>0</v>
      </c>
    </row>
    <row r="40" spans="3:19" ht="18" x14ac:dyDescent="0.3">
      <c r="C40" s="113"/>
      <c r="D40" s="114"/>
      <c r="E40" s="116"/>
      <c r="F40" s="115"/>
      <c r="G40" s="136">
        <f>SUBTOTAL(109,Table5202220[Jul])</f>
        <v>0</v>
      </c>
      <c r="H40" s="136">
        <f>SUBTOTAL(109,Table5202220[Aug])</f>
        <v>0</v>
      </c>
      <c r="I40" s="136">
        <f>SUBTOTAL(109,Table5202220[Sep])</f>
        <v>0</v>
      </c>
      <c r="J40" s="136">
        <f>SUBTOTAL(109,Table5202220[Oct])</f>
        <v>0</v>
      </c>
      <c r="K40" s="136">
        <f>SUBTOTAL(109,Table5202220[Nov])</f>
        <v>0</v>
      </c>
      <c r="L40" s="136">
        <f>SUBTOTAL(109,Table5202220[Dec])</f>
        <v>0</v>
      </c>
      <c r="M40" s="136">
        <f>SUBTOTAL(109,Table5202220[Jan])</f>
        <v>0</v>
      </c>
      <c r="N40" s="136">
        <f>SUBTOTAL(109,Table5202220[Feb])</f>
        <v>0</v>
      </c>
      <c r="O40" s="136">
        <f>SUBTOTAL(109,Table5202220[Mar])</f>
        <v>0</v>
      </c>
      <c r="P40" s="136">
        <f>SUBTOTAL(109,Table5202220[Apr])</f>
        <v>0</v>
      </c>
      <c r="Q40" s="136">
        <f>SUBTOTAL(109,Table5202220[May])</f>
        <v>0</v>
      </c>
      <c r="R40" s="136">
        <f>SUBTOTAL(109,Table5202220[Jun])</f>
        <v>0</v>
      </c>
      <c r="S40" s="204">
        <f>SUBTOTAL(109,Table5202220[Total Cases])</f>
        <v>0</v>
      </c>
    </row>
    <row r="41" spans="3:19" ht="19.5" customHeight="1" x14ac:dyDescent="0.35">
      <c r="C41" s="113"/>
      <c r="D41" s="114"/>
      <c r="E41" s="114"/>
      <c r="F41" s="114"/>
      <c r="G41" s="114"/>
      <c r="H41" s="115"/>
      <c r="I41" s="116"/>
      <c r="J41" s="116"/>
      <c r="K41" s="116"/>
      <c r="L41" s="133"/>
      <c r="M41" s="142"/>
      <c r="N41" s="143"/>
      <c r="O41" s="141"/>
      <c r="P41" s="141"/>
    </row>
    <row r="42" spans="3:19" ht="50.25" customHeight="1" x14ac:dyDescent="0.3">
      <c r="C42" s="88" t="s">
        <v>32</v>
      </c>
      <c r="D42" s="88"/>
      <c r="E42" s="88"/>
      <c r="F42" s="88"/>
      <c r="G42" s="66"/>
      <c r="H42" s="66"/>
      <c r="I42" s="69"/>
      <c r="J42" s="89"/>
      <c r="K42" s="66"/>
      <c r="L42" s="66"/>
      <c r="M42" s="28"/>
      <c r="N42" s="60"/>
      <c r="O42" s="60"/>
      <c r="P42" s="60"/>
      <c r="Q42" s="60"/>
      <c r="R42" s="60"/>
      <c r="S42" s="206"/>
    </row>
    <row r="43" spans="3:19" s="1" customFormat="1" ht="54" x14ac:dyDescent="0.3">
      <c r="C43" s="51" t="s">
        <v>0</v>
      </c>
      <c r="D43" s="52" t="s">
        <v>1</v>
      </c>
      <c r="E43" s="51" t="s">
        <v>6</v>
      </c>
      <c r="F43" s="51" t="s">
        <v>83</v>
      </c>
      <c r="G43" s="51" t="s">
        <v>70</v>
      </c>
      <c r="H43" s="51" t="s">
        <v>71</v>
      </c>
      <c r="I43" s="51" t="s">
        <v>72</v>
      </c>
      <c r="J43" s="51" t="s">
        <v>73</v>
      </c>
      <c r="K43" s="51" t="s">
        <v>74</v>
      </c>
      <c r="L43" s="51" t="s">
        <v>75</v>
      </c>
      <c r="M43" s="51" t="s">
        <v>76</v>
      </c>
      <c r="N43" s="51" t="s">
        <v>77</v>
      </c>
      <c r="O43" s="51" t="s">
        <v>78</v>
      </c>
      <c r="P43" s="51" t="s">
        <v>79</v>
      </c>
      <c r="Q43" s="51" t="s">
        <v>80</v>
      </c>
      <c r="R43" s="51" t="s">
        <v>81</v>
      </c>
      <c r="S43" s="51" t="s">
        <v>82</v>
      </c>
    </row>
    <row r="44" spans="3:19" s="1" customFormat="1" ht="19.5" customHeight="1" x14ac:dyDescent="0.3">
      <c r="C44" s="15">
        <v>54409</v>
      </c>
      <c r="D44" s="201" t="s">
        <v>110</v>
      </c>
      <c r="E44" s="20">
        <v>107</v>
      </c>
      <c r="F44" s="193">
        <f>SUM('Servings to DF Pounds'!L45,'Cases to DF Pounds'!J45-Table52019[[#This Row],[Total Cases]])</f>
        <v>0</v>
      </c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195">
        <f>SUM(Table52019[[#This Row],[Jul]:[Jun]])</f>
        <v>0</v>
      </c>
    </row>
    <row r="45" spans="3:19" s="1" customFormat="1" ht="19.5" customHeight="1" x14ac:dyDescent="0.3">
      <c r="C45" s="15">
        <v>54410</v>
      </c>
      <c r="D45" s="201" t="s">
        <v>111</v>
      </c>
      <c r="E45" s="20">
        <v>107</v>
      </c>
      <c r="F45" s="193">
        <f>SUM('Servings to DF Pounds'!L46,'Cases to DF Pounds'!J46-Table52019[[#This Row],[Total Cases]])</f>
        <v>0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195">
        <f>SUM(Table52019[[#This Row],[Jul]:[Jun]])</f>
        <v>0</v>
      </c>
    </row>
    <row r="46" spans="3:19" s="6" customFormat="1" ht="19.5" customHeight="1" x14ac:dyDescent="0.3">
      <c r="C46" s="15">
        <v>54411</v>
      </c>
      <c r="D46" s="201" t="s">
        <v>112</v>
      </c>
      <c r="E46" s="20">
        <v>214</v>
      </c>
      <c r="F46" s="193">
        <f>SUM('Servings to DF Pounds'!L47,'Cases to DF Pounds'!J47-Table52019[[#This Row],[Total Cases]])</f>
        <v>0</v>
      </c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195">
        <f>SUM(Table52019[[#This Row],[Jul]:[Jun]])</f>
        <v>0</v>
      </c>
    </row>
    <row r="47" spans="3:19" s="1" customFormat="1" ht="19.5" customHeight="1" x14ac:dyDescent="0.3">
      <c r="C47" s="15">
        <v>54453</v>
      </c>
      <c r="D47" s="201" t="s">
        <v>113</v>
      </c>
      <c r="E47" s="20">
        <v>107</v>
      </c>
      <c r="F47" s="193">
        <f>SUM('Servings to DF Pounds'!L48,'Cases to DF Pounds'!J48-Table52019[[#This Row],[Total Cases]])</f>
        <v>0</v>
      </c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195">
        <f>SUM(Table52019[[#This Row],[Jul]:[Jun]])</f>
        <v>0</v>
      </c>
    </row>
    <row r="48" spans="3:19" s="1" customFormat="1" ht="19.5" customHeight="1" x14ac:dyDescent="0.3">
      <c r="C48" s="15">
        <v>54463</v>
      </c>
      <c r="D48" s="201" t="s">
        <v>114</v>
      </c>
      <c r="E48" s="20">
        <v>107</v>
      </c>
      <c r="F48" s="193">
        <f>SUM('Servings to DF Pounds'!L49,'Cases to DF Pounds'!J49-Table52019[[#This Row],[Total Cases]])</f>
        <v>0</v>
      </c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195">
        <f>SUM(Table52019[[#This Row],[Jul]:[Jun]])</f>
        <v>0</v>
      </c>
    </row>
    <row r="49" spans="2:22" s="1" customFormat="1" ht="19.5" customHeight="1" x14ac:dyDescent="0.3">
      <c r="C49" s="15">
        <v>54464</v>
      </c>
      <c r="D49" s="201" t="s">
        <v>121</v>
      </c>
      <c r="E49" s="20">
        <v>107</v>
      </c>
      <c r="F49" s="193">
        <f>SUM('Servings to DF Pounds'!L50,'Cases to DF Pounds'!J50-Table52019[[#This Row],[Total Cases]])</f>
        <v>0</v>
      </c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95">
        <f>SUM(Table52019[[#This Row],[Jul]:[Jun]])</f>
        <v>0</v>
      </c>
    </row>
    <row r="50" spans="2:22" s="1" customFormat="1" ht="18" x14ac:dyDescent="0.35">
      <c r="C50" s="113"/>
      <c r="D50" s="114"/>
      <c r="E50" s="116"/>
      <c r="F50" s="115"/>
      <c r="G50" s="172">
        <f>SUBTOTAL(109,Table52019[Jul])</f>
        <v>0</v>
      </c>
      <c r="H50" s="172">
        <f>SUBTOTAL(109,Table52019[Aug])</f>
        <v>0</v>
      </c>
      <c r="I50" s="172">
        <f>SUBTOTAL(109,Table52019[Sep])</f>
        <v>0</v>
      </c>
      <c r="J50" s="172">
        <f>SUBTOTAL(109,Table52019[Oct])</f>
        <v>0</v>
      </c>
      <c r="K50" s="172">
        <f>SUBTOTAL(109,Table52019[Nov])</f>
        <v>0</v>
      </c>
      <c r="L50" s="172">
        <f>SUBTOTAL(109,Table52019[Dec])</f>
        <v>0</v>
      </c>
      <c r="M50" s="172">
        <f>SUBTOTAL(109,Table52019[Jan])</f>
        <v>0</v>
      </c>
      <c r="N50" s="172">
        <f>SUBTOTAL(109,Table52019[Feb])</f>
        <v>0</v>
      </c>
      <c r="O50" s="172">
        <f>SUBTOTAL(109,Table52019[Mar])</f>
        <v>0</v>
      </c>
      <c r="P50" s="172">
        <f>SUBTOTAL(109,Table52019[Apr])</f>
        <v>0</v>
      </c>
      <c r="Q50" s="172">
        <f>SUBTOTAL(109,Table52019[May])</f>
        <v>0</v>
      </c>
      <c r="R50" s="172">
        <f>SUBTOTAL(109,Table52019[Jun])</f>
        <v>0</v>
      </c>
      <c r="S50" s="204">
        <f>SUBTOTAL(109,Table52019[Total Cases])</f>
        <v>0</v>
      </c>
    </row>
    <row r="51" spans="2:22" s="1" customFormat="1" ht="18" x14ac:dyDescent="0.35">
      <c r="C51" s="113"/>
      <c r="D51" s="114"/>
      <c r="E51" s="114"/>
      <c r="F51" s="114"/>
      <c r="G51" s="114"/>
      <c r="H51" s="115"/>
      <c r="I51" s="116"/>
      <c r="J51" s="116"/>
      <c r="K51" s="129"/>
      <c r="L51" s="130"/>
      <c r="M51" s="184"/>
      <c r="N51" s="143"/>
      <c r="O51" s="185"/>
      <c r="P51" s="185"/>
      <c r="S51" s="207"/>
      <c r="V51"/>
    </row>
    <row r="52" spans="2:22" s="1" customFormat="1" ht="57.75" hidden="1" customHeight="1" x14ac:dyDescent="0.35">
      <c r="C52" s="208" t="s">
        <v>88</v>
      </c>
      <c r="D52" s="174"/>
      <c r="E52" s="174"/>
      <c r="F52" s="174"/>
      <c r="G52" s="174"/>
      <c r="H52" s="175"/>
      <c r="I52" s="176"/>
      <c r="J52" s="177"/>
      <c r="K52" s="178"/>
      <c r="L52" s="179"/>
      <c r="M52" s="180"/>
      <c r="N52" s="180"/>
      <c r="O52" s="209"/>
      <c r="P52" s="209"/>
      <c r="Q52" s="209"/>
      <c r="R52" s="209"/>
      <c r="S52" s="210"/>
      <c r="V52"/>
    </row>
    <row r="53" spans="2:22" s="1" customFormat="1" ht="54" hidden="1" x14ac:dyDescent="0.3">
      <c r="C53" s="181" t="s">
        <v>0</v>
      </c>
      <c r="D53" s="182" t="s">
        <v>1</v>
      </c>
      <c r="E53" s="181" t="s">
        <v>6</v>
      </c>
      <c r="F53" s="181" t="s">
        <v>83</v>
      </c>
      <c r="G53" s="183" t="s">
        <v>70</v>
      </c>
      <c r="H53" s="183" t="s">
        <v>71</v>
      </c>
      <c r="I53" s="183" t="s">
        <v>72</v>
      </c>
      <c r="J53" s="183" t="s">
        <v>73</v>
      </c>
      <c r="K53" s="183" t="s">
        <v>74</v>
      </c>
      <c r="L53" s="183" t="s">
        <v>75</v>
      </c>
      <c r="M53" s="183" t="s">
        <v>76</v>
      </c>
      <c r="N53" s="183" t="s">
        <v>77</v>
      </c>
      <c r="O53" s="183" t="s">
        <v>78</v>
      </c>
      <c r="P53" s="183" t="s">
        <v>79</v>
      </c>
      <c r="Q53" s="183" t="s">
        <v>80</v>
      </c>
      <c r="R53" s="183" t="s">
        <v>81</v>
      </c>
      <c r="S53" s="181" t="s">
        <v>82</v>
      </c>
    </row>
    <row r="54" spans="2:22" s="1" customFormat="1" ht="19.5" hidden="1" customHeight="1" x14ac:dyDescent="0.3">
      <c r="C54" s="15">
        <v>13424</v>
      </c>
      <c r="D54" s="201" t="s">
        <v>89</v>
      </c>
      <c r="E54" s="20">
        <v>78</v>
      </c>
      <c r="F54" s="211">
        <f>SUM('Servings to DF Pounds'!L55,'Cases to DF Pounds'!J55-Table52025121321[[#This Row],[Total Cases]])</f>
        <v>0</v>
      </c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199">
        <f>SUM(Table52025121321[[#This Row],[Jul]:[Jun]])</f>
        <v>0</v>
      </c>
    </row>
    <row r="55" spans="2:22" s="1" customFormat="1" ht="19.5" hidden="1" customHeight="1" x14ac:dyDescent="0.3">
      <c r="C55" s="15">
        <v>13445</v>
      </c>
      <c r="D55" s="192" t="s">
        <v>122</v>
      </c>
      <c r="E55" s="20">
        <v>78</v>
      </c>
      <c r="F55" s="211">
        <f>SUM('Servings to DF Pounds'!L56,'Cases to DF Pounds'!J56-Table52025121321[[#This Row],[Total Cases]])</f>
        <v>0</v>
      </c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199">
        <f>SUM(Table52025121321[[#This Row],[Jul]:[Jun]])</f>
        <v>0</v>
      </c>
    </row>
    <row r="56" spans="2:22" s="1" customFormat="1" ht="19.5" hidden="1" customHeight="1" x14ac:dyDescent="0.3">
      <c r="C56" s="15">
        <v>13429</v>
      </c>
      <c r="D56" s="192" t="s">
        <v>90</v>
      </c>
      <c r="E56" s="20">
        <v>156</v>
      </c>
      <c r="F56" s="193">
        <f>SUM('Servings to DF Pounds'!L57,'Cases to DF Pounds'!J57-Table52025121321[[#This Row],[Total Cases]])</f>
        <v>0</v>
      </c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199">
        <f>SUM(Table52025121321[[#This Row],[Jul]:[Jun]])</f>
        <v>0</v>
      </c>
    </row>
    <row r="57" spans="2:22" s="1" customFormat="1" ht="19.5" hidden="1" customHeight="1" x14ac:dyDescent="0.3">
      <c r="C57" s="15">
        <v>23409</v>
      </c>
      <c r="D57" s="192" t="s">
        <v>91</v>
      </c>
      <c r="E57" s="20">
        <v>78</v>
      </c>
      <c r="F57" s="193">
        <f>SUM('Servings to DF Pounds'!L58,'Cases to DF Pounds'!J58-Table52025121321[[#This Row],[Total Cases]])</f>
        <v>0</v>
      </c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199">
        <f>SUM(Table52025121321[[#This Row],[Jul]:[Jun]])</f>
        <v>0</v>
      </c>
    </row>
    <row r="58" spans="2:22" s="1" customFormat="1" ht="19.5" hidden="1" customHeight="1" x14ac:dyDescent="0.3">
      <c r="C58" s="15">
        <v>43415</v>
      </c>
      <c r="D58" s="192" t="s">
        <v>92</v>
      </c>
      <c r="E58" s="20">
        <v>78</v>
      </c>
      <c r="F58" s="211">
        <f>SUM('Servings to DF Pounds'!L59,'Cases to DF Pounds'!J59-Table52025121321[[#This Row],[Total Cases]])</f>
        <v>0</v>
      </c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199">
        <f>SUM(Table52025121321[[#This Row],[Jul]:[Jun]])</f>
        <v>0</v>
      </c>
    </row>
    <row r="59" spans="2:22" s="1" customFormat="1" ht="19.5" hidden="1" customHeight="1" x14ac:dyDescent="0.3">
      <c r="C59" s="15">
        <v>54440</v>
      </c>
      <c r="D59" s="192" t="s">
        <v>93</v>
      </c>
      <c r="E59" s="20">
        <v>107</v>
      </c>
      <c r="F59" s="19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199">
        <f>SUM(Table52025121321[[#This Row],[Jul]:[Jun]])</f>
        <v>0</v>
      </c>
    </row>
    <row r="60" spans="2:22" ht="19.5" hidden="1" customHeight="1" x14ac:dyDescent="0.3">
      <c r="C60" s="15">
        <v>54454</v>
      </c>
      <c r="D60" s="192" t="s">
        <v>94</v>
      </c>
      <c r="E60" s="20">
        <v>107</v>
      </c>
      <c r="F60" s="19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199">
        <f>SUM(Table52025121321[[#This Row],[Jul]:[Jun]])</f>
        <v>0</v>
      </c>
    </row>
    <row r="61" spans="2:22" ht="19.5" hidden="1" customHeight="1" x14ac:dyDescent="0.35">
      <c r="C61" s="113"/>
      <c r="D61" s="114"/>
      <c r="E61" s="116"/>
      <c r="F61" s="115"/>
      <c r="G61" s="124">
        <f>SUBTOTAL(109,Table52025121321[Jul])</f>
        <v>0</v>
      </c>
      <c r="H61" s="124">
        <f>SUBTOTAL(109,Table52025121321[Aug])</f>
        <v>0</v>
      </c>
      <c r="I61" s="124">
        <f>SUBTOTAL(109,Table52025121321[Sep])</f>
        <v>0</v>
      </c>
      <c r="J61" s="124">
        <f>SUBTOTAL(109,Table52025121321[Oct])</f>
        <v>0</v>
      </c>
      <c r="K61" s="124">
        <f>SUBTOTAL(109,Table52025121321[Nov])</f>
        <v>0</v>
      </c>
      <c r="L61" s="124">
        <f>SUBTOTAL(109,Table52025121321[Dec])</f>
        <v>0</v>
      </c>
      <c r="M61" s="124">
        <f>SUBTOTAL(109,Table52025121321[Jan])</f>
        <v>0</v>
      </c>
      <c r="N61" s="124">
        <f>SUBTOTAL(109,Table52025121321[Feb])</f>
        <v>0</v>
      </c>
      <c r="O61" s="124">
        <f>SUBTOTAL(109,Table52025121321[Mar])</f>
        <v>0</v>
      </c>
      <c r="P61" s="124">
        <f>SUBTOTAL(109,Table52025121321[Apr])</f>
        <v>0</v>
      </c>
      <c r="Q61" s="124">
        <f>SUBTOTAL(109,Table52025121321[May])</f>
        <v>0</v>
      </c>
      <c r="R61" s="124">
        <f>SUBTOTAL(109,Table52025121321[Jun])</f>
        <v>0</v>
      </c>
      <c r="S61" s="212">
        <f>SUBTOTAL(109,Table52025121321[Total Cases])</f>
        <v>0</v>
      </c>
    </row>
    <row r="62" spans="2:22" ht="15" thickBot="1" x14ac:dyDescent="0.35">
      <c r="C62" s="1"/>
      <c r="D62" s="1"/>
      <c r="E62" s="1"/>
      <c r="F62" s="1"/>
      <c r="G62" s="1"/>
      <c r="H62" s="1"/>
      <c r="I62" s="1"/>
      <c r="J62" s="1"/>
      <c r="N62" s="1"/>
      <c r="O62" s="1"/>
      <c r="P62" s="1"/>
      <c r="Q62" s="1"/>
    </row>
    <row r="63" spans="2:22" ht="48" customHeight="1" x14ac:dyDescent="0.3">
      <c r="B63" s="155"/>
      <c r="C63" s="156" t="s">
        <v>129</v>
      </c>
      <c r="D63" s="157"/>
      <c r="E63" s="157"/>
      <c r="F63" s="157"/>
      <c r="G63" s="157"/>
      <c r="H63" s="158"/>
      <c r="I63" s="1"/>
      <c r="J63" s="1"/>
      <c r="N63" s="1"/>
      <c r="O63" s="1"/>
      <c r="P63" s="1"/>
      <c r="Q63" s="1"/>
    </row>
    <row r="64" spans="2:22" ht="48" customHeight="1" thickBot="1" x14ac:dyDescent="0.55000000000000004">
      <c r="B64" s="159"/>
      <c r="C64" s="160" t="s">
        <v>62</v>
      </c>
      <c r="D64" s="213"/>
      <c r="E64" s="162"/>
      <c r="F64" s="162"/>
      <c r="G64" s="162"/>
      <c r="H64" s="163"/>
      <c r="I64" s="1"/>
      <c r="J64" s="1"/>
      <c r="N64" s="1"/>
      <c r="O64" s="1"/>
      <c r="P64" s="1"/>
      <c r="Q64" s="1"/>
    </row>
    <row r="65" spans="2:17" ht="48" customHeight="1" thickBot="1" x14ac:dyDescent="0.55000000000000004">
      <c r="B65" s="159"/>
      <c r="C65" s="160" t="s">
        <v>63</v>
      </c>
      <c r="D65" s="214"/>
      <c r="E65" s="162"/>
      <c r="F65" s="162"/>
      <c r="G65" s="162"/>
      <c r="H65" s="163"/>
      <c r="I65" s="1"/>
      <c r="J65" s="1"/>
      <c r="N65" s="1"/>
      <c r="O65" s="1"/>
      <c r="P65" s="1"/>
      <c r="Q65" s="1"/>
    </row>
    <row r="66" spans="2:17" ht="48" customHeight="1" thickBot="1" x14ac:dyDescent="0.55000000000000004">
      <c r="B66" s="159"/>
      <c r="C66" s="160" t="s">
        <v>64</v>
      </c>
      <c r="D66" s="214"/>
      <c r="E66" s="160" t="s">
        <v>65</v>
      </c>
      <c r="F66" s="213"/>
      <c r="G66" s="160" t="s">
        <v>66</v>
      </c>
      <c r="H66" s="215"/>
      <c r="I66" s="1"/>
      <c r="J66" s="1"/>
      <c r="N66" s="1"/>
      <c r="O66" s="1"/>
      <c r="P66" s="1"/>
      <c r="Q66" s="1"/>
    </row>
    <row r="67" spans="2:17" ht="48" customHeight="1" thickBot="1" x14ac:dyDescent="0.55000000000000004">
      <c r="B67" s="165"/>
      <c r="C67" s="166" t="s">
        <v>67</v>
      </c>
      <c r="D67" s="214"/>
      <c r="E67" s="166" t="s">
        <v>68</v>
      </c>
      <c r="F67" s="213"/>
      <c r="G67" s="161"/>
      <c r="H67" s="164"/>
      <c r="I67" s="1"/>
      <c r="J67" s="1"/>
      <c r="N67" s="1"/>
      <c r="O67" s="1"/>
      <c r="P67" s="1"/>
      <c r="Q67" s="1"/>
    </row>
    <row r="68" spans="2:17" ht="15" customHeight="1" x14ac:dyDescent="0.3">
      <c r="C68" s="1"/>
      <c r="D68" s="1"/>
      <c r="E68" s="1"/>
      <c r="F68" s="1"/>
      <c r="G68" s="1"/>
      <c r="H68" s="1"/>
      <c r="I68" s="1"/>
      <c r="J68" s="1"/>
      <c r="N68" s="1"/>
      <c r="O68" s="1"/>
      <c r="P68" s="1"/>
    </row>
    <row r="69" spans="2:17" ht="15" customHeight="1" x14ac:dyDescent="0.3">
      <c r="C69" s="1"/>
      <c r="D69" s="1"/>
      <c r="E69" s="1"/>
      <c r="F69" s="1"/>
      <c r="G69" s="1"/>
      <c r="H69" s="1"/>
      <c r="I69" s="1"/>
      <c r="J69" s="1"/>
      <c r="N69" s="1"/>
      <c r="O69" s="1"/>
      <c r="P69" s="1"/>
    </row>
    <row r="70" spans="2:17" ht="15" customHeight="1" x14ac:dyDescent="0.3">
      <c r="C70" s="1"/>
      <c r="D70" s="1"/>
      <c r="E70" s="1"/>
      <c r="F70" s="1"/>
      <c r="G70" s="1"/>
      <c r="H70" s="1"/>
      <c r="I70" s="1"/>
      <c r="J70" s="1"/>
      <c r="N70" s="1"/>
      <c r="O70" s="1"/>
      <c r="P70" s="1"/>
    </row>
    <row r="71" spans="2:17" ht="15" customHeight="1" x14ac:dyDescent="0.3">
      <c r="C71" s="1"/>
      <c r="D71" s="1"/>
      <c r="E71" s="1"/>
      <c r="F71" s="1"/>
      <c r="G71" s="1"/>
      <c r="H71" s="1"/>
      <c r="I71" s="1"/>
      <c r="J71" s="1"/>
      <c r="N71" s="1"/>
      <c r="O71" s="1"/>
      <c r="P71" s="1"/>
    </row>
    <row r="72" spans="2:17" ht="15" customHeight="1" x14ac:dyDescent="0.3">
      <c r="C72" s="1"/>
      <c r="D72" s="1"/>
      <c r="E72" s="1"/>
      <c r="F72" s="1"/>
      <c r="G72" s="1"/>
      <c r="H72" s="1"/>
      <c r="I72" s="1"/>
      <c r="J72" s="1"/>
      <c r="N72" s="1"/>
      <c r="O72" s="1"/>
      <c r="P72" s="1"/>
    </row>
    <row r="73" spans="2:17" ht="15" customHeight="1" x14ac:dyDescent="0.3">
      <c r="C73" s="1"/>
      <c r="D73" s="1"/>
      <c r="E73" s="1"/>
      <c r="F73" s="1"/>
      <c r="G73" s="1"/>
      <c r="H73" s="1"/>
      <c r="I73" s="1"/>
      <c r="J73" s="1"/>
      <c r="N73" s="1"/>
      <c r="O73" s="1"/>
      <c r="P73" s="1"/>
    </row>
    <row r="74" spans="2:17" ht="15" customHeight="1" x14ac:dyDescent="0.3">
      <c r="C74" s="4"/>
      <c r="D74" s="1"/>
      <c r="E74" s="1"/>
      <c r="F74" s="1"/>
      <c r="G74" s="1"/>
      <c r="H74" s="1"/>
      <c r="I74" s="1"/>
      <c r="J74" s="1"/>
      <c r="N74" s="1"/>
      <c r="O74" s="1"/>
      <c r="P74" s="1"/>
    </row>
    <row r="75" spans="2:17" ht="15" customHeight="1" x14ac:dyDescent="0.3"/>
    <row r="76" spans="2:17" ht="15" customHeight="1" x14ac:dyDescent="0.3"/>
    <row r="77" spans="2:17" ht="15" customHeight="1" x14ac:dyDescent="0.3"/>
    <row r="78" spans="2:17" ht="15" customHeight="1" x14ac:dyDescent="0.3"/>
    <row r="79" spans="2:17" ht="15" customHeight="1" x14ac:dyDescent="0.3">
      <c r="L79"/>
      <c r="M79"/>
    </row>
    <row r="80" spans="2:17" ht="15" customHeight="1" x14ac:dyDescent="0.3">
      <c r="L80"/>
      <c r="M80"/>
    </row>
    <row r="81" spans="11:13" ht="15" customHeight="1" x14ac:dyDescent="0.3"/>
    <row r="82" spans="11:13" ht="15" customHeight="1" x14ac:dyDescent="0.3"/>
    <row r="83" spans="11:13" ht="15" customHeight="1" x14ac:dyDescent="0.3"/>
    <row r="84" spans="11:13" ht="15" customHeight="1" x14ac:dyDescent="0.3"/>
    <row r="85" spans="11:13" ht="15" customHeight="1" x14ac:dyDescent="0.3"/>
    <row r="86" spans="11:13" ht="15" customHeight="1" x14ac:dyDescent="0.3"/>
    <row r="87" spans="11:13" ht="15" customHeight="1" x14ac:dyDescent="0.3"/>
    <row r="88" spans="11:13" ht="15" customHeight="1" x14ac:dyDescent="0.3"/>
    <row r="89" spans="11:13" ht="15" customHeight="1" x14ac:dyDescent="0.3">
      <c r="K89"/>
      <c r="L89"/>
      <c r="M89"/>
    </row>
    <row r="90" spans="11:13" ht="15" customHeight="1" x14ac:dyDescent="0.3">
      <c r="K90"/>
      <c r="L90"/>
      <c r="M90"/>
    </row>
    <row r="91" spans="11:13" ht="15" customHeight="1" x14ac:dyDescent="0.3">
      <c r="K91"/>
      <c r="L91"/>
      <c r="M91"/>
    </row>
    <row r="92" spans="11:13" ht="15" customHeight="1" x14ac:dyDescent="0.3">
      <c r="K92"/>
      <c r="L92"/>
      <c r="M92"/>
    </row>
    <row r="93" spans="11:13" ht="15" customHeight="1" x14ac:dyDescent="0.3">
      <c r="K93"/>
      <c r="L93"/>
      <c r="M93"/>
    </row>
    <row r="94" spans="11:13" ht="15" customHeight="1" x14ac:dyDescent="0.3">
      <c r="K94"/>
      <c r="L94"/>
      <c r="M94"/>
    </row>
    <row r="95" spans="11:13" ht="15" customHeight="1" x14ac:dyDescent="0.3">
      <c r="K95"/>
      <c r="L95"/>
      <c r="M95"/>
    </row>
    <row r="96" spans="11:13" ht="15" customHeight="1" x14ac:dyDescent="0.3">
      <c r="K96"/>
      <c r="L96"/>
      <c r="M96"/>
    </row>
    <row r="97" spans="11:13" ht="15" customHeight="1" x14ac:dyDescent="0.3">
      <c r="K97"/>
      <c r="L97"/>
      <c r="M97"/>
    </row>
    <row r="98" spans="11:13" ht="15" customHeight="1" x14ac:dyDescent="0.3">
      <c r="K98"/>
      <c r="L98"/>
      <c r="M98"/>
    </row>
    <row r="99" spans="11:13" ht="15" customHeight="1" x14ac:dyDescent="0.3">
      <c r="K99"/>
      <c r="L99"/>
      <c r="M99"/>
    </row>
    <row r="100" spans="11:13" ht="15" customHeight="1" x14ac:dyDescent="0.3">
      <c r="K100"/>
      <c r="L100"/>
      <c r="M100"/>
    </row>
    <row r="101" spans="11:13" ht="15" customHeight="1" x14ac:dyDescent="0.3">
      <c r="K101"/>
      <c r="L101"/>
      <c r="M101"/>
    </row>
    <row r="102" spans="11:13" ht="15" customHeight="1" x14ac:dyDescent="0.3">
      <c r="K102"/>
      <c r="L102"/>
      <c r="M102"/>
    </row>
    <row r="103" spans="11:13" ht="15" customHeight="1" x14ac:dyDescent="0.3">
      <c r="K103"/>
      <c r="L103"/>
      <c r="M103"/>
    </row>
    <row r="104" spans="11:13" ht="15" customHeight="1" x14ac:dyDescent="0.3">
      <c r="K104"/>
      <c r="L104"/>
      <c r="M104"/>
    </row>
    <row r="105" spans="11:13" ht="15" customHeight="1" x14ac:dyDescent="0.3">
      <c r="K105"/>
      <c r="L105"/>
      <c r="M105"/>
    </row>
    <row r="106" spans="11:13" ht="15" customHeight="1" x14ac:dyDescent="0.3">
      <c r="K106"/>
      <c r="L106"/>
      <c r="M106"/>
    </row>
    <row r="107" spans="11:13" ht="15" customHeight="1" x14ac:dyDescent="0.3">
      <c r="K107"/>
      <c r="L107"/>
      <c r="M107"/>
    </row>
    <row r="108" spans="11:13" ht="15" customHeight="1" x14ac:dyDescent="0.3">
      <c r="K108"/>
      <c r="L108"/>
      <c r="M108"/>
    </row>
    <row r="109" spans="11:13" ht="15" customHeight="1" x14ac:dyDescent="0.3">
      <c r="K109"/>
      <c r="L109"/>
      <c r="M109"/>
    </row>
    <row r="110" spans="11:13" ht="15" customHeight="1" x14ac:dyDescent="0.3">
      <c r="K110"/>
      <c r="L110"/>
      <c r="M110"/>
    </row>
    <row r="111" spans="11:13" ht="15" customHeight="1" x14ac:dyDescent="0.3">
      <c r="K111"/>
      <c r="L111"/>
      <c r="M111"/>
    </row>
    <row r="112" spans="11:13" x14ac:dyDescent="0.3">
      <c r="K112"/>
      <c r="L112"/>
      <c r="M112"/>
    </row>
    <row r="113" spans="11:13" x14ac:dyDescent="0.3">
      <c r="K113"/>
      <c r="L113"/>
      <c r="M113"/>
    </row>
    <row r="114" spans="11:13" x14ac:dyDescent="0.3">
      <c r="K114"/>
      <c r="L114"/>
      <c r="M114"/>
    </row>
  </sheetData>
  <sheetProtection algorithmName="SHA-512" hashValue="/Rf3lEhNqxsYofw199PGhkPPAoSl2b969sBDtkCYUis/A7M1UlsqWWo410SwFdfJROpRYS/VkUhtK4yJw4Wbvw==" saltValue="96myBLi3MB8hzFTCVNbNXw==" spinCount="100000" sheet="1" objects="1" scenarios="1"/>
  <conditionalFormatting sqref="F14:F21 F23:F28 F33:F39 F44:F49 F54:F58">
    <cfRule type="cellIs" dxfId="203" priority="1" operator="greaterThan">
      <formula>0</formula>
    </cfRule>
  </conditionalFormatting>
  <printOptions horizontalCentered="1"/>
  <pageMargins left="0" right="0" top="0" bottom="0" header="0" footer="0"/>
  <pageSetup scale="37" fitToHeight="0" orientation="landscape" horizontalDpi="4294967295" verticalDpi="4294967295" r:id="rId1"/>
  <colBreaks count="1" manualBreakCount="1">
    <brk id="8" max="1048575" man="1"/>
  </colBreaks>
  <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E4:M28"/>
  <sheetViews>
    <sheetView topLeftCell="A7" workbookViewId="0">
      <selection activeCell="J25" sqref="J25"/>
    </sheetView>
  </sheetViews>
  <sheetFormatPr defaultRowHeight="14.4" x14ac:dyDescent="0.3"/>
  <cols>
    <col min="5" max="10" width="22.109375" customWidth="1"/>
    <col min="11" max="11" width="9.109375" customWidth="1"/>
    <col min="13" max="13" width="58.88671875" customWidth="1"/>
    <col min="14" max="16" width="27.33203125" customWidth="1"/>
  </cols>
  <sheetData>
    <row r="4" spans="5:10" ht="15" thickBot="1" x14ac:dyDescent="0.35"/>
    <row r="5" spans="5:10" ht="46.5" customHeight="1" x14ac:dyDescent="0.3">
      <c r="E5" s="87" t="s">
        <v>4</v>
      </c>
      <c r="F5" s="70" t="s">
        <v>19</v>
      </c>
    </row>
    <row r="6" spans="5:10" ht="18.600000000000001" thickBot="1" x14ac:dyDescent="0.4">
      <c r="E6" s="71">
        <f>Table419[[#Totals],[Total Servings]]+Table52022[[#Totals],[Total Servings]]+Table520[[#Totals],[Total Servings]]+Table520251213[[#Totals],[Total Servings]]</f>
        <v>0</v>
      </c>
      <c r="F6" s="106">
        <f>Table419[[#Totals],[DF $ Value]]+Table52022[[#Totals],[DF $ Value]]+Table520[[#Totals],[DF $ Value]]+Table520251213[[#Totals],[DF $ Value]]</f>
        <v>0</v>
      </c>
    </row>
    <row r="13" spans="5:10" ht="78" customHeight="1" x14ac:dyDescent="0.3">
      <c r="E13" s="103" t="s">
        <v>21</v>
      </c>
      <c r="G13" s="103" t="s">
        <v>22</v>
      </c>
      <c r="H13" s="103" t="s">
        <v>13</v>
      </c>
      <c r="I13" s="103" t="s">
        <v>14</v>
      </c>
      <c r="J13" s="103" t="s">
        <v>15</v>
      </c>
    </row>
    <row r="14" spans="5:10" ht="27.75" customHeight="1" x14ac:dyDescent="0.3">
      <c r="E14" s="105">
        <f>(((Table419[[#Totals],[DF Pounds WHITE]]+Table520251213[[#Totals],[DF Pounds WHITE]])*0.3109)/0.6891)-((Table52022[[#Totals],[DF Pounds DARK]])+Table520251213[[#Totals],[DF Pounds DARK]])</f>
        <v>0</v>
      </c>
      <c r="G14" s="105">
        <f>Table40[Dark Pounds Needed to Balance Order]/53.3</f>
        <v>0</v>
      </c>
      <c r="H14" s="104">
        <f>G14*232</f>
        <v>0</v>
      </c>
      <c r="I14" s="104">
        <f>IF(Table204[[Dark Servings ]]&lt;0,Table204[[Dark Servings ]],Table204[Dark Cases Rounded]*232)</f>
        <v>0</v>
      </c>
      <c r="J14" s="104">
        <f>ROUNDDOWN(Table204[[ Sausage Dark Cases]],0)</f>
        <v>0</v>
      </c>
    </row>
    <row r="16" spans="5:10" ht="78" customHeight="1" x14ac:dyDescent="0.3">
      <c r="G16" s="103" t="s">
        <v>23</v>
      </c>
      <c r="H16" s="103" t="s">
        <v>13</v>
      </c>
      <c r="I16" s="103" t="s">
        <v>14</v>
      </c>
      <c r="J16" s="103" t="s">
        <v>15</v>
      </c>
    </row>
    <row r="17" spans="7:13" ht="27.75" customHeight="1" x14ac:dyDescent="0.3">
      <c r="G17" s="105">
        <f>Table40[Dark Pounds Needed to Balance Order]/31.8</f>
        <v>0</v>
      </c>
      <c r="H17" s="104">
        <f>G17*77</f>
        <v>0</v>
      </c>
      <c r="I17" s="104">
        <f>IF(Table20[[Dark Servings ]]&lt;0,Table20[[Dark Servings ]],Table20[Dark Cases Rounded]*77)</f>
        <v>0</v>
      </c>
      <c r="J17" s="104">
        <f>ROUNDDOWN(Table20[Popper Dark Cases],0)</f>
        <v>0</v>
      </c>
    </row>
    <row r="18" spans="7:13" ht="15" thickBot="1" x14ac:dyDescent="0.35"/>
    <row r="19" spans="7:13" ht="36" customHeight="1" x14ac:dyDescent="0.3">
      <c r="M19" s="108" t="s">
        <v>24</v>
      </c>
    </row>
    <row r="20" spans="7:13" ht="56.25" customHeight="1" thickBot="1" x14ac:dyDescent="0.9">
      <c r="G20" s="103" t="s">
        <v>30</v>
      </c>
      <c r="H20" s="103" t="s">
        <v>13</v>
      </c>
      <c r="I20" s="103" t="s">
        <v>14</v>
      </c>
      <c r="J20" s="103" t="s">
        <v>15</v>
      </c>
      <c r="M20" s="107">
        <f>SUM(Table419[[#Totals],[DF Pounds WHITE]],Table52022[[#Totals],[DF Pounds DARK]],Table520[[#Totals],[DF Pounds WHITE]],Table520[[#Totals],[DF Pounds DARK]])+Table520251213[[#Totals],[DF Pounds WHITE]]+Table520251213[[#Totals],[DF Pounds DARK]]</f>
        <v>0</v>
      </c>
    </row>
    <row r="21" spans="7:13" ht="23.4" x14ac:dyDescent="0.3">
      <c r="G21" s="105">
        <f>Table40[Dark Pounds Needed to Balance Order]/39.27</f>
        <v>0</v>
      </c>
      <c r="H21" s="104">
        <f>G21*123</f>
        <v>0</v>
      </c>
      <c r="I21" s="104">
        <f>IF(Table206[[Dark Servings ]]&lt;0,Table206[[Dark Servings ]],Table206[Dark Cases Rounded]*123)</f>
        <v>0</v>
      </c>
      <c r="J21" s="104">
        <f>ROUNDDOWN(Table206[Garlic Basil Meatball Cases],0)</f>
        <v>0</v>
      </c>
    </row>
    <row r="24" spans="7:13" ht="54" x14ac:dyDescent="0.3">
      <c r="G24" s="103" t="s">
        <v>29</v>
      </c>
      <c r="H24" s="103" t="s">
        <v>13</v>
      </c>
      <c r="I24" s="103" t="s">
        <v>14</v>
      </c>
      <c r="J24" s="103" t="s">
        <v>15</v>
      </c>
    </row>
    <row r="25" spans="7:13" ht="23.4" x14ac:dyDescent="0.3">
      <c r="G25" s="105">
        <f>Table40[Dark Pounds Needed to Balance Order]/38.59</f>
        <v>0</v>
      </c>
      <c r="H25" s="104">
        <f>G25*123</f>
        <v>0</v>
      </c>
      <c r="I25" s="104">
        <f>IF(Table2067[[Dark Servings ]]&lt;0,Table2067[[Dark Servings ]],Table2067[Dark Cases Rounded]*123)</f>
        <v>0</v>
      </c>
      <c r="J25" s="104">
        <f>ROUNDDOWN(Table2067[Mango Jalapeno Meatball Cases],0)</f>
        <v>0</v>
      </c>
    </row>
    <row r="27" spans="7:13" ht="54" x14ac:dyDescent="0.3">
      <c r="G27" s="103" t="s">
        <v>69</v>
      </c>
      <c r="H27" s="103" t="s">
        <v>13</v>
      </c>
      <c r="I27" s="103" t="s">
        <v>14</v>
      </c>
      <c r="J27" s="103" t="s">
        <v>15</v>
      </c>
    </row>
    <row r="28" spans="7:13" ht="23.4" x14ac:dyDescent="0.3">
      <c r="G28" s="105">
        <f>Table40[Dark Pounds Needed to Balance Order]/47.63</f>
        <v>0</v>
      </c>
      <c r="H28" s="104">
        <f>G28*123</f>
        <v>0</v>
      </c>
      <c r="I28" s="104">
        <f>IF(Table206711[[Dark Servings ]]&lt;0,Table206711[[Dark Servings ]],Table206711[Dark Cases Rounded]*123)</f>
        <v>0</v>
      </c>
      <c r="J28" s="104">
        <f>ROUNDDOWN(Table206711[Chicken Crumble Cases],0)</f>
        <v>0</v>
      </c>
    </row>
  </sheetData>
  <sheetProtection algorithmName="SHA-512" hashValue="LxoaYzUJE0HQKwoSQ2tQetbVVXHfX4Ct5X7SHbZhCK+ev/l0Rju4moANjqoJlMj6XqlRn4ikpYk3nJeJhWa2EQ==" saltValue="S+AuTwxhzWAm+g6OEjLYbg==" spinCount="100000" sheet="1" objects="1" scenarios="1"/>
  <pageMargins left="0.7" right="0.7" top="0.75" bottom="0.75" header="0.3" footer="0.3"/>
  <pageSetup orientation="portrait" horizontalDpi="4294967295" verticalDpi="4294967295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E4:N24"/>
  <sheetViews>
    <sheetView workbookViewId="0">
      <selection activeCell="J25" sqref="J25"/>
    </sheetView>
  </sheetViews>
  <sheetFormatPr defaultColWidth="9.109375" defaultRowHeight="14.4" x14ac:dyDescent="0.3"/>
  <cols>
    <col min="5" max="10" width="22.109375" customWidth="1"/>
    <col min="14" max="14" width="58.88671875" customWidth="1"/>
    <col min="15" max="16" width="27.33203125" customWidth="1"/>
  </cols>
  <sheetData>
    <row r="4" spans="5:6" ht="15" thickBot="1" x14ac:dyDescent="0.35"/>
    <row r="5" spans="5:6" ht="46.5" customHeight="1" x14ac:dyDescent="0.3">
      <c r="E5" s="87" t="s">
        <v>4</v>
      </c>
      <c r="F5" s="70" t="s">
        <v>19</v>
      </c>
    </row>
    <row r="6" spans="5:6" ht="19.5" customHeight="1" thickBot="1" x14ac:dyDescent="0.4">
      <c r="E6" s="110">
        <f>Table41922[[#Totals],[Total Servings]]+Table5202226[[#Totals],[Total Servings]]+Table52025[[#Totals],[Total Servings]]+Table5202512[[#Totals],[Total Servings]]</f>
        <v>0</v>
      </c>
      <c r="F6" s="111">
        <f>Table41922[[#Totals],[DF $ Value]]+Table5202226[[#Totals],[DF $ Value]]+Table52025[[#Totals],[DF $ Value]]+Table5202512[[#Totals],[DF $ Value]]</f>
        <v>0</v>
      </c>
    </row>
    <row r="11" spans="5:6" x14ac:dyDescent="0.3">
      <c r="E11" s="1"/>
    </row>
    <row r="12" spans="5:6" x14ac:dyDescent="0.3">
      <c r="E12" s="1"/>
    </row>
    <row r="13" spans="5:6" ht="28.8" x14ac:dyDescent="0.3">
      <c r="E13" s="3" t="s">
        <v>27</v>
      </c>
      <c r="F13" s="1"/>
    </row>
    <row r="14" spans="5:6" x14ac:dyDescent="0.3">
      <c r="E14" s="65">
        <f>(((Table41922[[#Totals],[DF Pounds WHITE]]+Table5202512[[#Totals],[DF Pounds WHITE]])*0.3109)/0.6891)-(Table5202226[[#Totals],[DF Pounds DARK]]+Table5202512[[#Totals],[DF Pounds DARK]])</f>
        <v>0</v>
      </c>
    </row>
    <row r="16" spans="5:6" x14ac:dyDescent="0.3">
      <c r="E16" s="1"/>
      <c r="F16" s="1"/>
    </row>
    <row r="17" spans="5:14" ht="28.8" x14ac:dyDescent="0.3">
      <c r="E17" s="3" t="s">
        <v>18</v>
      </c>
      <c r="F17" s="3" t="s">
        <v>17</v>
      </c>
      <c r="G17" s="3" t="s">
        <v>31</v>
      </c>
      <c r="H17" s="3" t="s">
        <v>29</v>
      </c>
      <c r="I17" s="3" t="s">
        <v>69</v>
      </c>
    </row>
    <row r="18" spans="5:14" x14ac:dyDescent="0.3">
      <c r="E18" s="109">
        <f>ROUND(Table153322[Dark Meat DF Pounds Required]/53.3,0)</f>
        <v>0</v>
      </c>
      <c r="F18" s="109">
        <f>ROUND(Table153322[Dark Meat DF Pounds Required]/31.8,0)</f>
        <v>0</v>
      </c>
      <c r="G18" s="109">
        <f>ROUND(Table153322[Dark Meat DF Pounds Required]/39.27,0)</f>
        <v>0</v>
      </c>
      <c r="H18" s="109">
        <f>ROUND(Table153322[Dark Meat DF Pounds Required]/38.59,0)</f>
        <v>0</v>
      </c>
      <c r="I18" s="109">
        <f>ROUND(Table153322[Dark Meat DF Pounds Required]/47.63,0)</f>
        <v>0</v>
      </c>
    </row>
    <row r="22" spans="5:14" ht="15" thickBot="1" x14ac:dyDescent="0.35"/>
    <row r="23" spans="5:14" ht="36" customHeight="1" x14ac:dyDescent="0.3">
      <c r="N23" s="108" t="s">
        <v>24</v>
      </c>
    </row>
    <row r="24" spans="5:14" ht="56.25" customHeight="1" thickBot="1" x14ac:dyDescent="0.9">
      <c r="N24" s="112">
        <f>SUM(Table41922[[#Totals],[DF Pounds WHITE]],Table5202226[[#Totals],[DF Pounds DARK]],Table52025[[#Totals],[DF Pounds WHITE]],Table52025[[#Totals],[DF Pounds DARK]])+Table5202512[[#Totals],[DF Pounds WHITE]]+Table5202512[[#Totals],[DF Pounds DARK]]</f>
        <v>0</v>
      </c>
    </row>
  </sheetData>
  <sheetProtection algorithmName="SHA-512" hashValue="pkr1wuWfkq5ybz38stsD2e/E8tIztRhGivqD9K8cyG2a5Jo/QHDiocs8wMFOIwUV/fPCItyRsW2Ew/u9RL+y5Q==" saltValue="KvxM3yBKGS/MgsKZ7diONQ==" spinCount="100000" sheet="1" objects="1" scenarios="1"/>
  <pageMargins left="0.7" right="0.7" top="0.75" bottom="0.75" header="0.3" footer="0.3"/>
  <pageSetup orientation="portrait" horizontalDpi="4294967295" verticalDpi="4294967295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Servings to DF Pounds</vt:lpstr>
      <vt:lpstr>Cases to DF Pounds</vt:lpstr>
      <vt:lpstr>Monthly Planner</vt:lpstr>
      <vt:lpstr>Dashboard Tables (SERVINGS)</vt:lpstr>
      <vt:lpstr>Dashboard Tables (DF POUNDS)</vt:lpstr>
      <vt:lpstr>'Cases to DF Pounds'!Print_Area</vt:lpstr>
      <vt:lpstr>'Monthly Planner'!Print_Area</vt:lpstr>
      <vt:lpstr>'Servings to DF Pounds'!Print_Area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Rodriguez</dc:creator>
  <cp:lastModifiedBy>Hansen, Madelyn</cp:lastModifiedBy>
  <cp:lastPrinted>2019-02-27T22:10:10Z</cp:lastPrinted>
  <dcterms:created xsi:type="dcterms:W3CDTF">2018-08-29T21:17:54Z</dcterms:created>
  <dcterms:modified xsi:type="dcterms:W3CDTF">2023-11-29T21:37:42Z</dcterms:modified>
</cp:coreProperties>
</file>