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I:\fas\documents\Food and Nutrition Services\Procurement\"/>
    </mc:Choice>
  </mc:AlternateContent>
  <xr:revisionPtr revIDLastSave="0" documentId="8_{B084B2C1-1082-48FB-9C90-4CC4533BFDF6}" xr6:coauthVersionLast="47" xr6:coauthVersionMax="47" xr10:uidLastSave="{00000000-0000-0000-0000-000000000000}"/>
  <bookViews>
    <workbookView xWindow="28680" yWindow="-120" windowWidth="29040" windowHeight="15720" tabRatio="858" firstSheet="24" activeTab="6" xr2:uid="{00000000-000D-0000-FFFF-FFFF00000000}"/>
  </bookViews>
  <sheets>
    <sheet name="STATE AGENCY REVIEW INSTRUCTION" sheetId="17" r:id="rId1"/>
    <sheet name="SFA INSTRUCTIONS" sheetId="37" r:id="rId2"/>
    <sheet name="SFA PROCUREMENT TABLE" sheetId="16" r:id="rId3"/>
    <sheet name="Sheet1" sheetId="81" state="hidden" r:id="rId4"/>
    <sheet name="Sheet2" sheetId="82" state="hidden" r:id="rId5"/>
    <sheet name="Selection" sheetId="79" state="hidden" r:id="rId6"/>
    <sheet name="PROCUREMENT SELECTION CHART" sheetId="14" r:id="rId7"/>
    <sheet name="Data sets " sheetId="55" state="hidden" r:id="rId8"/>
    <sheet name="GENERAL PROCUREMENT PROCEDURES" sheetId="1" r:id="rId9"/>
    <sheet name="MICROPURCHASES" sheetId="58" r:id="rId10"/>
    <sheet name="SMALL PURCHASES" sheetId="29" r:id="rId11"/>
    <sheet name="FORMAL PROCUREMENT (IFB &amp; RFP)" sheetId="48" r:id="rId12"/>
    <sheet name="FOOD SVC MANAGEMENT COMPANIES" sheetId="72" r:id="rId13"/>
    <sheet name="PROCESSING" sheetId="76" r:id="rId14"/>
    <sheet name="SA PRE-APPROVAL FSMC CHECKLIST" sheetId="73" r:id="rId15"/>
    <sheet name="GENL PROCUREMENT STND FINDINGS" sheetId="60" r:id="rId16"/>
    <sheet name="MICROPURCHASE FINDINGS" sheetId="59" r:id="rId17"/>
    <sheet name="SMALL PURCHASES FINDINGS" sheetId="10" r:id="rId18"/>
    <sheet name="FORMAL PROCUREMENT FINDINGS" sheetId="61" r:id="rId19"/>
    <sheet name="PROCESSING FINDINGS" sheetId="63" r:id="rId20"/>
    <sheet name="FSMC RENEWAL FINDINGS" sheetId="62" r:id="rId21"/>
    <sheet name="PRE-APPROVAL FSMC FINDINGS " sheetId="80" r:id="rId22"/>
    <sheet name="2 CFR 200 SERIES" sheetId="54" r:id="rId23"/>
    <sheet name="Appendix II to 2 CFR 200" sheetId="44" r:id="rId24"/>
    <sheet name="Allowable cost 2 CFR 200.400" sheetId="43" r:id="rId25"/>
    <sheet name="7 CFR 210.16" sheetId="24" r:id="rId26"/>
    <sheet name="7 CFR 210.21" sheetId="31" r:id="rId27"/>
    <sheet name="7 CFR PART 210.23 RECORDS" sheetId="47" r:id="rId28"/>
    <sheet name="7 CFR 200.30-.39" sheetId="84" r:id="rId29"/>
    <sheet name="7 CFR 250.50-54" sheetId="30" r:id="rId30"/>
  </sheets>
  <definedNames>
    <definedName name="Answers">'Data sets '!$A$6:$A$8</definedName>
    <definedName name="Answers2">'Data sets '!$A$14:$A$15</definedName>
    <definedName name="Answers3">'Data sets '!$A$5:$A$8</definedName>
    <definedName name="Answerstwo">'Data sets '!$A$13:$A$15</definedName>
    <definedName name="atta" localSheetId="24">'Allowable cost 2 CFR 200.400'!$A$1</definedName>
    <definedName name="Base_Year">'Data sets '!$A$84:$A$86</definedName>
    <definedName name="Below__150_000_or_the_State_s_small_purchase_threshold">smallpurchase</definedName>
    <definedName name="contract">'Data sets '!$A$30:$A$32</definedName>
    <definedName name="contract3">'Data sets '!$A$29:$A$32</definedName>
    <definedName name="contracts">'Data sets '!$A$30:$A$34</definedName>
    <definedName name="contracts5">'Data sets '!$A$16:$A$20</definedName>
    <definedName name="contractyear">'Data sets '!$A$64:$A$68</definedName>
    <definedName name="contractyears">'Data sets '!$A$62:$A$68</definedName>
    <definedName name="contractyearselect">'Data sets '!$A$62:$A$68</definedName>
    <definedName name="d" localSheetId="24">'Allowable cost 2 CFR 200.400'!$A$32</definedName>
    <definedName name="duration">'Data sets '!$A$40:$A$45</definedName>
    <definedName name="e" localSheetId="24">'Allowable cost 2 CFR 200.400'!$A$35</definedName>
    <definedName name="f" localSheetId="24">'Allowable cost 2 CFR 200.400'!$A$44</definedName>
    <definedName name="formalamounts">'Data sets '!$A$171:$A$175</definedName>
    <definedName name="formalsmallpurchase">'Data sets '!$A$105:$D$109</definedName>
    <definedName name="formalsmallpurchase1">'Data sets '!$A$106:$A$109</definedName>
    <definedName name="FSMC_year">'Data sets '!$A$91:$A$95</definedName>
    <definedName name="g" localSheetId="24">'Allowable cost 2 CFR 200.400'!$A$51</definedName>
    <definedName name="h" localSheetId="24">'Allowable cost 2 CFR 200.400'!$A$52</definedName>
    <definedName name="Invitation_for_Bid" localSheetId="21">'Data sets '!#REF!</definedName>
    <definedName name="Invitation_for_Bid">'Data sets '!#REF!</definedName>
    <definedName name="invitation2">'Data sets '!$A$127:$A$129</definedName>
    <definedName name="invite2" localSheetId="21">'Data sets '!#REF!</definedName>
    <definedName name="invite2">'Data sets '!#REF!</definedName>
    <definedName name="microamounts">'Data sets '!$A$162:$A$165</definedName>
    <definedName name="micropurchase">'Data sets '!$A$88:$A$89</definedName>
    <definedName name="micropurchase_method">'Data sets '!$A$131:$A$134</definedName>
    <definedName name="micropurchase_methods">'Data sets '!$A$136:$A$140</definedName>
    <definedName name="micropurchaselist">Selection!$A$2:$A$10</definedName>
    <definedName name="Micropurchases">Selection!$A$3:$A$10</definedName>
    <definedName name="numberofpurchases">'Data sets '!$A$158:$A$160</definedName>
    <definedName name="numberofsmall">'Data sets '!$A$150:$A$152</definedName>
    <definedName name="numberofsmall2">'Data sets '!$A$150:$A$152</definedName>
    <definedName name="passthrough">'Data sets '!$A$52:$A$56</definedName>
    <definedName name="processing">'Data sets '!$A$84:$A$86</definedName>
    <definedName name="Processingduration">'Data sets '!$A$84:$A$86</definedName>
    <definedName name="processingoptions">'Data sets '!$A$121:$A$125</definedName>
    <definedName name="processingsolicittype">'Data sets '!$A$111:$A$114</definedName>
    <definedName name="processingsolicitwithother">'Data sets '!$A$200:$A$204</definedName>
    <definedName name="processingtypes">'Data sets '!$A$121:$A$125</definedName>
    <definedName name="processingyear">'Data sets '!$A$183:$A$187</definedName>
    <definedName name="processingyears">'Data sets '!$A$205:$A$208</definedName>
    <definedName name="rebatefrequency">'Data sets '!$A$189:$A$193</definedName>
    <definedName name="renewalyears">'Data sets '!$A$177:$A$181</definedName>
    <definedName name="select">'Data sets '!$A$46:$A$47</definedName>
    <definedName name="smallpurchase">'Data sets '!$A$102</definedName>
    <definedName name="smallpurchaseamount">'Data sets '!$A$167:$A$169</definedName>
    <definedName name="smallpurchasemethods">'Data sets '!$A$142:$A$148</definedName>
    <definedName name="smallpurchases">'Data sets '!$A$101:$A$102</definedName>
    <definedName name="solicitation">'Data sets '!$A$16:$A$28</definedName>
    <definedName name="solicitation2">'Data sets '!$A$19:$A$20</definedName>
    <definedName name="solicitations">'Data sets '!$A$17:$A$20</definedName>
    <definedName name="solicitations2">'Data sets '!$A$25:$A$28</definedName>
    <definedName name="solicitations3">'Data sets '!$A$17:$A$20</definedName>
    <definedName name="solicitations4">'Data sets '!$A$16:$A$20</definedName>
    <definedName name="solicitationtypewithother">'Data sets '!$A$195:$A$198</definedName>
    <definedName name="three">'Data sets '!$A$5:$A$8</definedName>
    <definedName name="two">'Data sets '!$A$13:$A$15</definedName>
    <definedName name="typeofcontract">'Data sets '!$A$116:$A$118</definedName>
    <definedName name="types">'Data sets '!$A$154:$A$156</definedName>
    <definedName name="value">'Data sets '!$A$35:$A$39</definedName>
    <definedName name="value4">'Data sets '!$A$58:$A$61</definedName>
    <definedName name="values">'Data sets '!$A$35:$A$39</definedName>
    <definedName name="values3">'Data sets '!$A$37:$A$39</definedName>
    <definedName name="values4">'Data sets '!$A$48:$A$51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4" l="1"/>
  <c r="C20" i="14" l="1"/>
  <c r="A4" i="60" l="1" a="1"/>
  <c r="A4" i="60" s="1"/>
  <c r="A5" i="60" a="1"/>
  <c r="A5" i="60" s="1"/>
  <c r="A6" i="60" a="1"/>
  <c r="A6" i="60" s="1"/>
  <c r="A7" i="60" a="1"/>
  <c r="A7" i="60" s="1"/>
  <c r="A8" i="60" a="1"/>
  <c r="A8" i="60" s="1"/>
  <c r="A3" i="60" a="1"/>
  <c r="A3" i="60" s="1"/>
  <c r="A1" i="62" l="1"/>
  <c r="A1" i="80"/>
  <c r="Z2" i="80" a="1"/>
  <c r="Z2" i="80" s="1"/>
  <c r="U2" i="80" a="1"/>
  <c r="U2" i="80" s="1"/>
  <c r="P2" i="80" a="1"/>
  <c r="P2" i="80" s="1"/>
  <c r="K2" i="80" a="1"/>
  <c r="K2" i="80" s="1"/>
  <c r="F2" i="80" a="1"/>
  <c r="F2" i="80" s="1"/>
  <c r="A2" i="80" a="1"/>
  <c r="A2" i="80" s="1"/>
  <c r="A4" i="79" a="1"/>
  <c r="A4" i="79" s="1"/>
  <c r="A5" i="79" a="1"/>
  <c r="A5" i="79" s="1"/>
  <c r="A6" i="79" a="1"/>
  <c r="A6" i="79" s="1"/>
  <c r="A7" i="79" a="1"/>
  <c r="A7" i="79" s="1"/>
  <c r="A8" i="79" a="1"/>
  <c r="A8" i="79" s="1"/>
  <c r="A9" i="79" a="1"/>
  <c r="A9" i="79" s="1"/>
  <c r="A10" i="79" a="1"/>
  <c r="A10" i="79" s="1"/>
  <c r="C15" i="14"/>
  <c r="C14" i="14"/>
  <c r="J125" i="16"/>
  <c r="A9" i="76" s="1"/>
  <c r="L101" i="16"/>
  <c r="L90" i="16"/>
  <c r="I69" i="16"/>
  <c r="H31" i="72"/>
  <c r="J31" i="48"/>
  <c r="J25" i="48"/>
  <c r="J23" i="48"/>
  <c r="J21" i="48"/>
  <c r="J19" i="48"/>
  <c r="J18" i="48"/>
  <c r="J11" i="48"/>
  <c r="J10" i="48"/>
  <c r="J8" i="48"/>
  <c r="I17" i="29"/>
  <c r="I8" i="29"/>
  <c r="D7" i="1"/>
  <c r="D6" i="1"/>
  <c r="G47" i="16"/>
  <c r="C11" i="14"/>
  <c r="H8" i="58"/>
  <c r="H7" i="58"/>
  <c r="H6" i="58"/>
  <c r="H5" i="58"/>
  <c r="H4" i="58"/>
  <c r="B1" i="58"/>
  <c r="B4" i="1"/>
  <c r="B6" i="60" s="1"/>
  <c r="H21" i="29"/>
  <c r="G21" i="29"/>
  <c r="F21" i="29"/>
  <c r="E21" i="29"/>
  <c r="D21" i="29"/>
  <c r="B5" i="60"/>
  <c r="A1" i="60"/>
  <c r="Z2" i="63" a="1"/>
  <c r="Z2" i="63" s="1"/>
  <c r="U2" i="63" a="1"/>
  <c r="U2" i="63" s="1"/>
  <c r="P2" i="63" a="1"/>
  <c r="P2" i="63" s="1"/>
  <c r="K2" i="63" a="1"/>
  <c r="K2" i="63" s="1"/>
  <c r="K8" i="63" s="1" a="1"/>
  <c r="K8" i="63" s="1"/>
  <c r="F2" i="63" a="1"/>
  <c r="F2" i="63" s="1"/>
  <c r="A2" i="63" a="1"/>
  <c r="A2" i="63" s="1"/>
  <c r="E4" i="79" a="1"/>
  <c r="E4" i="79" s="1"/>
  <c r="E5" i="79" a="1"/>
  <c r="E5" i="79" s="1"/>
  <c r="E6" i="79" a="1"/>
  <c r="E6" i="79" s="1"/>
  <c r="E7" i="79" a="1"/>
  <c r="E7" i="79" s="1"/>
  <c r="E8" i="79" a="1"/>
  <c r="E8" i="79" s="1"/>
  <c r="E9" i="79" a="1"/>
  <c r="E9" i="79" s="1"/>
  <c r="E10" i="79" a="1"/>
  <c r="E10" i="79" s="1"/>
  <c r="E11" i="79" a="1"/>
  <c r="E11" i="79" s="1"/>
  <c r="E12" i="79" a="1"/>
  <c r="E12" i="79" s="1"/>
  <c r="E13" i="79" a="1"/>
  <c r="E13" i="79" s="1"/>
  <c r="E14" i="79" a="1"/>
  <c r="E14" i="79" s="1"/>
  <c r="E15" i="79" a="1"/>
  <c r="E15" i="79" s="1"/>
  <c r="E16" i="79" a="1"/>
  <c r="E16" i="79" s="1"/>
  <c r="E17" i="79" a="1"/>
  <c r="E17" i="79" s="1"/>
  <c r="E18" i="79" a="1"/>
  <c r="E18" i="79" s="1"/>
  <c r="E19" i="79" a="1"/>
  <c r="E19" i="79" s="1"/>
  <c r="E20" i="79" a="1"/>
  <c r="E20" i="79" s="1"/>
  <c r="E3" i="79" a="1"/>
  <c r="E3" i="79" s="1"/>
  <c r="G4" i="79" a="1"/>
  <c r="G4" i="79" s="1"/>
  <c r="G5" i="79" a="1"/>
  <c r="G5" i="79" s="1"/>
  <c r="G6" i="79" a="1"/>
  <c r="G6" i="79" s="1"/>
  <c r="G7" i="79" a="1"/>
  <c r="G7" i="79" s="1"/>
  <c r="G8" i="79" a="1"/>
  <c r="G8" i="79" s="1"/>
  <c r="G9" i="79" a="1"/>
  <c r="G9" i="79" s="1"/>
  <c r="G3" i="79" a="1"/>
  <c r="G3" i="79" s="1"/>
  <c r="I4" i="79" a="1"/>
  <c r="I4" i="79" s="1"/>
  <c r="I5" i="79" a="1"/>
  <c r="I5" i="79" s="1"/>
  <c r="I6" i="79" a="1"/>
  <c r="I6" i="79" s="1"/>
  <c r="I7" i="79" a="1"/>
  <c r="I7" i="79" s="1"/>
  <c r="I8" i="79" a="1"/>
  <c r="I8" i="79" s="1"/>
  <c r="I9" i="79" a="1"/>
  <c r="I9" i="79" s="1"/>
  <c r="I10" i="79" a="1"/>
  <c r="I10" i="79" s="1"/>
  <c r="I11" i="79" a="1"/>
  <c r="I11" i="79" s="1"/>
  <c r="I12" i="79" a="1"/>
  <c r="I12" i="79" s="1"/>
  <c r="I13" i="79" a="1"/>
  <c r="I13" i="79" s="1"/>
  <c r="I14" i="79" a="1"/>
  <c r="I14" i="79" s="1"/>
  <c r="I15" i="79" a="1"/>
  <c r="I15" i="79" s="1"/>
  <c r="I16" i="79" a="1"/>
  <c r="I16" i="79" s="1"/>
  <c r="I17" i="79" a="1"/>
  <c r="I17" i="79" s="1"/>
  <c r="I18" i="79" a="1"/>
  <c r="I18" i="79" s="1"/>
  <c r="I19" i="79" a="1"/>
  <c r="I19" i="79" s="1"/>
  <c r="I20" i="79" a="1"/>
  <c r="I20" i="79" s="1"/>
  <c r="I21" i="79" a="1"/>
  <c r="I21" i="79" s="1"/>
  <c r="I22" i="79" a="1"/>
  <c r="I22" i="79" s="1"/>
  <c r="I23" i="79" a="1"/>
  <c r="I23" i="79" s="1"/>
  <c r="I3" i="79" a="1"/>
  <c r="I3" i="79" s="1"/>
  <c r="Z2" i="62" a="1"/>
  <c r="Z2" i="62" s="1"/>
  <c r="U2" i="62" a="1"/>
  <c r="U2" i="62" s="1"/>
  <c r="P2" i="62" a="1"/>
  <c r="P2" i="62" s="1"/>
  <c r="K2" i="62" a="1"/>
  <c r="K2" i="62" s="1"/>
  <c r="F2" i="62" a="1"/>
  <c r="F2" i="62" s="1"/>
  <c r="A2" i="62" a="1"/>
  <c r="A2" i="62" s="1"/>
  <c r="Z2" i="61" a="1"/>
  <c r="Z2" i="61" s="1"/>
  <c r="U2" i="61" a="1"/>
  <c r="U2" i="61" s="1"/>
  <c r="P2" i="61" a="1"/>
  <c r="P2" i="61" s="1"/>
  <c r="K2" i="61" a="1"/>
  <c r="K2" i="61" s="1"/>
  <c r="F2" i="61" a="1"/>
  <c r="F2" i="61" s="1"/>
  <c r="A2" i="61" a="1"/>
  <c r="A2" i="61" s="1"/>
  <c r="M15" i="10"/>
  <c r="M16" i="10"/>
  <c r="M17" i="10"/>
  <c r="F2" i="10" a="1"/>
  <c r="F2" i="10" s="1"/>
  <c r="A2" i="10" a="1"/>
  <c r="A2" i="10" s="1"/>
  <c r="K2" i="10" a="1"/>
  <c r="K2" i="10" s="1"/>
  <c r="P2" i="10" a="1"/>
  <c r="P2" i="10" s="1"/>
  <c r="U2" i="10" a="1"/>
  <c r="U2" i="10" s="1"/>
  <c r="P2" i="59" a="1"/>
  <c r="P2" i="59" s="1"/>
  <c r="K2" i="59" a="1"/>
  <c r="K2" i="59" s="1"/>
  <c r="F2" i="59" a="1"/>
  <c r="F2" i="59" s="1"/>
  <c r="A2" i="59" a="1"/>
  <c r="A2" i="59" s="1"/>
  <c r="C19" i="79" a="1"/>
  <c r="C19" i="79" s="1"/>
  <c r="C20" i="79" a="1"/>
  <c r="C20" i="79" s="1"/>
  <c r="C4" i="79" a="1"/>
  <c r="C4" i="79" s="1"/>
  <c r="C5" i="79" a="1"/>
  <c r="C5" i="79" s="1"/>
  <c r="C6" i="79" a="1"/>
  <c r="C6" i="79" s="1"/>
  <c r="C7" i="79" a="1"/>
  <c r="C7" i="79" s="1"/>
  <c r="C8" i="79" a="1"/>
  <c r="C8" i="79" s="1"/>
  <c r="C9" i="79" a="1"/>
  <c r="C9" i="79" s="1"/>
  <c r="C10" i="79" a="1"/>
  <c r="C10" i="79" s="1"/>
  <c r="C11" i="79" a="1"/>
  <c r="C11" i="79" s="1"/>
  <c r="C12" i="79" a="1"/>
  <c r="C12" i="79" s="1"/>
  <c r="C13" i="79" a="1"/>
  <c r="C13" i="79" s="1"/>
  <c r="C14" i="79" a="1"/>
  <c r="C14" i="79" s="1"/>
  <c r="C15" i="79" a="1"/>
  <c r="C15" i="79" s="1"/>
  <c r="C16" i="79" a="1"/>
  <c r="C16" i="79" s="1"/>
  <c r="C17" i="79" a="1"/>
  <c r="C17" i="79" s="1"/>
  <c r="C18" i="79" a="1"/>
  <c r="C18" i="79" s="1"/>
  <c r="C3" i="79" a="1"/>
  <c r="C3" i="79" s="1"/>
  <c r="A3" i="79" a="1"/>
  <c r="A3" i="79" s="1"/>
  <c r="A1" i="63"/>
  <c r="A1" i="61"/>
  <c r="M14" i="10"/>
  <c r="M13" i="10"/>
  <c r="M12" i="10"/>
  <c r="M11" i="10"/>
  <c r="M10" i="10"/>
  <c r="M9" i="10"/>
  <c r="M8" i="10"/>
  <c r="M7" i="10"/>
  <c r="M6" i="10"/>
  <c r="M5" i="10"/>
  <c r="A1" i="10"/>
  <c r="A1" i="59"/>
  <c r="C21" i="14"/>
  <c r="C19" i="14"/>
  <c r="C13" i="14"/>
  <c r="C6" i="14"/>
  <c r="C3" i="14"/>
  <c r="A7" i="76"/>
  <c r="E1" i="76"/>
  <c r="H1" i="76"/>
  <c r="E1" i="72"/>
  <c r="F1" i="72"/>
  <c r="G1" i="72"/>
  <c r="A10" i="76"/>
  <c r="A1" i="76"/>
  <c r="G1" i="76"/>
  <c r="F1" i="76"/>
  <c r="I4" i="76"/>
  <c r="D1" i="76"/>
  <c r="G29" i="48"/>
  <c r="I29" i="48"/>
  <c r="B13" i="29"/>
  <c r="G1" i="29"/>
  <c r="G11" i="29" s="1"/>
  <c r="B9" i="58"/>
  <c r="F29" i="48"/>
  <c r="H29" i="48"/>
  <c r="B6" i="29" l="1"/>
  <c r="B9" i="29"/>
  <c r="B8" i="29"/>
  <c r="B7" i="29"/>
  <c r="B4" i="29"/>
  <c r="G3" i="58"/>
  <c r="B4" i="58"/>
  <c r="B2" i="58"/>
  <c r="E1" i="48"/>
  <c r="E29" i="48" s="1"/>
  <c r="B7" i="48"/>
  <c r="B17" i="48"/>
  <c r="B27" i="73"/>
  <c r="B44" i="73"/>
  <c r="B31" i="73"/>
  <c r="B8" i="72"/>
  <c r="B6" i="72"/>
  <c r="B4" i="60"/>
  <c r="B3" i="60"/>
  <c r="B8" i="60"/>
  <c r="B7" i="60"/>
  <c r="B15" i="73"/>
  <c r="B36" i="73"/>
  <c r="A1" i="72"/>
  <c r="B42" i="73"/>
  <c r="D1" i="72"/>
  <c r="B45" i="73"/>
  <c r="B38" i="73"/>
  <c r="B43" i="73"/>
  <c r="B40" i="73"/>
  <c r="B3" i="48"/>
  <c r="B1" i="48"/>
  <c r="H1" i="48"/>
  <c r="I1" i="48"/>
  <c r="D3" i="58"/>
  <c r="P21" i="62" a="1"/>
  <c r="P21" i="62" s="1"/>
  <c r="P19" i="62" a="1"/>
  <c r="P19" i="62" s="1"/>
  <c r="P17" i="62" a="1"/>
  <c r="P17" i="62" s="1"/>
  <c r="P15" i="62" a="1"/>
  <c r="P15" i="62" s="1"/>
  <c r="P13" i="62" a="1"/>
  <c r="P13" i="62" s="1"/>
  <c r="P11" i="62" a="1"/>
  <c r="P11" i="62" s="1"/>
  <c r="P18" i="62" a="1"/>
  <c r="P18" i="62" s="1"/>
  <c r="P14" i="62" a="1"/>
  <c r="P14" i="62" s="1"/>
  <c r="P10" i="62" a="1"/>
  <c r="P10" i="62" s="1"/>
  <c r="P9" i="62" a="1"/>
  <c r="P9" i="62" s="1"/>
  <c r="P7" i="62" a="1"/>
  <c r="P7" i="62" s="1"/>
  <c r="P5" i="62" a="1"/>
  <c r="P5" i="62" s="1"/>
  <c r="P12" i="62" a="1"/>
  <c r="P12" i="62" s="1"/>
  <c r="P4" i="62" a="1"/>
  <c r="P4" i="62" s="1"/>
  <c r="P8" i="62" a="1"/>
  <c r="P8" i="62" s="1"/>
  <c r="P6" i="62" a="1"/>
  <c r="P6" i="62" s="1"/>
  <c r="P20" i="62" a="1"/>
  <c r="P20" i="62" s="1"/>
  <c r="P16" i="62" a="1"/>
  <c r="P16" i="62" s="1"/>
  <c r="P5" i="63" a="1"/>
  <c r="P5" i="63" s="1"/>
  <c r="P8" i="63" a="1"/>
  <c r="P8" i="63" s="1"/>
  <c r="P13" i="63" a="1"/>
  <c r="P13" i="63" s="1"/>
  <c r="P16" i="63" a="1"/>
  <c r="P16" i="63" s="1"/>
  <c r="P21" i="63" a="1"/>
  <c r="P21" i="63" s="1"/>
  <c r="P24" i="63" a="1"/>
  <c r="P24" i="63" s="1"/>
  <c r="P29" i="63" a="1"/>
  <c r="P29" i="63" s="1"/>
  <c r="P32" i="63" a="1"/>
  <c r="P32" i="63" s="1"/>
  <c r="P6" i="63" a="1"/>
  <c r="P6" i="63" s="1"/>
  <c r="P11" i="63" a="1"/>
  <c r="P11" i="63" s="1"/>
  <c r="P14" i="63" a="1"/>
  <c r="P14" i="63" s="1"/>
  <c r="P19" i="63" a="1"/>
  <c r="P19" i="63" s="1"/>
  <c r="P22" i="63" a="1"/>
  <c r="P22" i="63" s="1"/>
  <c r="P27" i="63" a="1"/>
  <c r="P27" i="63" s="1"/>
  <c r="P30" i="63" a="1"/>
  <c r="P30" i="63" s="1"/>
  <c r="P7" i="63" a="1"/>
  <c r="P7" i="63" s="1"/>
  <c r="P18" i="63" a="1"/>
  <c r="P18" i="63" s="1"/>
  <c r="P23" i="63" a="1"/>
  <c r="P23" i="63" s="1"/>
  <c r="P4" i="63" a="1"/>
  <c r="P4" i="63" s="1"/>
  <c r="P12" i="63" a="1"/>
  <c r="P12" i="63" s="1"/>
  <c r="P9" i="63" a="1"/>
  <c r="P9" i="63" s="1"/>
  <c r="P20" i="63" a="1"/>
  <c r="P20" i="63" s="1"/>
  <c r="P25" i="63" a="1"/>
  <c r="P25" i="63" s="1"/>
  <c r="P33" i="63" a="1"/>
  <c r="P33" i="63" s="1"/>
  <c r="P10" i="63" a="1"/>
  <c r="P10" i="63" s="1"/>
  <c r="P15" i="63" a="1"/>
  <c r="P15" i="63" s="1"/>
  <c r="P26" i="63" a="1"/>
  <c r="P26" i="63" s="1"/>
  <c r="P31" i="63" a="1"/>
  <c r="P31" i="63" s="1"/>
  <c r="P17" i="63" a="1"/>
  <c r="P17" i="63" s="1"/>
  <c r="P28" i="63" a="1"/>
  <c r="P28" i="63" s="1"/>
  <c r="A43" i="80" a="1"/>
  <c r="A43" i="80" s="1"/>
  <c r="A21" i="62" a="1"/>
  <c r="A21" i="62" s="1"/>
  <c r="A19" i="62" a="1"/>
  <c r="A19" i="62" s="1"/>
  <c r="A18" i="62" a="1"/>
  <c r="A18" i="62" s="1"/>
  <c r="A20" i="62" a="1"/>
  <c r="A20" i="62" s="1"/>
  <c r="U21" i="62" a="1"/>
  <c r="U21" i="62" s="1"/>
  <c r="U19" i="62" a="1"/>
  <c r="U19" i="62" s="1"/>
  <c r="U17" i="62" a="1"/>
  <c r="U17" i="62" s="1"/>
  <c r="U15" i="62" a="1"/>
  <c r="U15" i="62" s="1"/>
  <c r="U13" i="62" a="1"/>
  <c r="U13" i="62" s="1"/>
  <c r="U11" i="62" a="1"/>
  <c r="U11" i="62" s="1"/>
  <c r="U4" i="62" a="1"/>
  <c r="U4" i="62" s="1"/>
  <c r="U14" i="62" a="1"/>
  <c r="U14" i="62" s="1"/>
  <c r="U9" i="62" a="1"/>
  <c r="U9" i="62" s="1"/>
  <c r="U5" i="62" a="1"/>
  <c r="U5" i="62" s="1"/>
  <c r="U20" i="62" a="1"/>
  <c r="U20" i="62" s="1"/>
  <c r="U16" i="62" a="1"/>
  <c r="U16" i="62" s="1"/>
  <c r="U12" i="62" a="1"/>
  <c r="U12" i="62" s="1"/>
  <c r="U8" i="62" a="1"/>
  <c r="U8" i="62" s="1"/>
  <c r="U6" i="62" a="1"/>
  <c r="U6" i="62" s="1"/>
  <c r="U7" i="62" a="1"/>
  <c r="U7" i="62" s="1"/>
  <c r="U18" i="62" a="1"/>
  <c r="U18" i="62" s="1"/>
  <c r="U10" i="62" a="1"/>
  <c r="U10" i="62" s="1"/>
  <c r="U6" i="63" a="1"/>
  <c r="U6" i="63" s="1"/>
  <c r="U11" i="63" a="1"/>
  <c r="U11" i="63" s="1"/>
  <c r="U14" i="63" a="1"/>
  <c r="U14" i="63" s="1"/>
  <c r="U19" i="63" a="1"/>
  <c r="U19" i="63" s="1"/>
  <c r="U22" i="63" a="1"/>
  <c r="U22" i="63" s="1"/>
  <c r="U27" i="63" a="1"/>
  <c r="U27" i="63" s="1"/>
  <c r="U30" i="63" a="1"/>
  <c r="U30" i="63" s="1"/>
  <c r="U9" i="63" a="1"/>
  <c r="U9" i="63" s="1"/>
  <c r="U12" i="63" a="1"/>
  <c r="U12" i="63" s="1"/>
  <c r="U17" i="63" a="1"/>
  <c r="U17" i="63" s="1"/>
  <c r="U20" i="63" a="1"/>
  <c r="U20" i="63" s="1"/>
  <c r="U25" i="63" a="1"/>
  <c r="U25" i="63" s="1"/>
  <c r="U28" i="63" a="1"/>
  <c r="U28" i="63" s="1"/>
  <c r="U33" i="63" a="1"/>
  <c r="U33" i="63" s="1"/>
  <c r="U5" i="63" a="1"/>
  <c r="U5" i="63" s="1"/>
  <c r="U16" i="63" a="1"/>
  <c r="U16" i="63" s="1"/>
  <c r="U21" i="63" a="1"/>
  <c r="U21" i="63" s="1"/>
  <c r="U32" i="63" a="1"/>
  <c r="U32" i="63" s="1"/>
  <c r="U7" i="63" a="1"/>
  <c r="U7" i="63" s="1"/>
  <c r="U18" i="63" a="1"/>
  <c r="U18" i="63" s="1"/>
  <c r="U23" i="63" a="1"/>
  <c r="U23" i="63" s="1"/>
  <c r="U4" i="63" a="1"/>
  <c r="U4" i="63" s="1"/>
  <c r="U10" i="63" a="1"/>
  <c r="U10" i="63" s="1"/>
  <c r="U26" i="63" a="1"/>
  <c r="U26" i="63" s="1"/>
  <c r="U31" i="63" a="1"/>
  <c r="U31" i="63" s="1"/>
  <c r="U8" i="63" a="1"/>
  <c r="U8" i="63" s="1"/>
  <c r="U13" i="63" a="1"/>
  <c r="U13" i="63" s="1"/>
  <c r="U24" i="63" a="1"/>
  <c r="U24" i="63" s="1"/>
  <c r="U29" i="63" a="1"/>
  <c r="U29" i="63" s="1"/>
  <c r="U15" i="63" a="1"/>
  <c r="U15" i="63" s="1"/>
  <c r="F20" i="62" a="1"/>
  <c r="F20" i="62" s="1"/>
  <c r="F18" i="62" a="1"/>
  <c r="F18" i="62" s="1"/>
  <c r="F16" i="62" a="1"/>
  <c r="F16" i="62" s="1"/>
  <c r="F14" i="62" a="1"/>
  <c r="F14" i="62" s="1"/>
  <c r="F12" i="62" a="1"/>
  <c r="F12" i="62" s="1"/>
  <c r="F10" i="62" a="1"/>
  <c r="F10" i="62" s="1"/>
  <c r="F21" i="62" a="1"/>
  <c r="F21" i="62" s="1"/>
  <c r="F17" i="62" a="1"/>
  <c r="F17" i="62" s="1"/>
  <c r="F13" i="62" a="1"/>
  <c r="F13" i="62" s="1"/>
  <c r="F8" i="62" a="1"/>
  <c r="F8" i="62" s="1"/>
  <c r="F6" i="62" a="1"/>
  <c r="F6" i="62" s="1"/>
  <c r="F9" i="62" a="1"/>
  <c r="F9" i="62" s="1"/>
  <c r="F5" i="62" a="1"/>
  <c r="F5" i="62" s="1"/>
  <c r="F15" i="62" a="1"/>
  <c r="F15" i="62" s="1"/>
  <c r="F7" i="62" a="1"/>
  <c r="F7" i="62" s="1"/>
  <c r="F19" i="62" a="1"/>
  <c r="F19" i="62" s="1"/>
  <c r="F11" i="62" a="1"/>
  <c r="F11" i="62" s="1"/>
  <c r="F4" i="62" a="1"/>
  <c r="F4" i="62" s="1"/>
  <c r="Z20" i="62" a="1"/>
  <c r="Z20" i="62" s="1"/>
  <c r="Z18" i="62" a="1"/>
  <c r="Z18" i="62" s="1"/>
  <c r="Z16" i="62" a="1"/>
  <c r="Z16" i="62" s="1"/>
  <c r="Z14" i="62" a="1"/>
  <c r="Z14" i="62" s="1"/>
  <c r="Z12" i="62" a="1"/>
  <c r="Z12" i="62" s="1"/>
  <c r="Z10" i="62" a="1"/>
  <c r="Z10" i="62" s="1"/>
  <c r="Z4" i="62" a="1"/>
  <c r="Z4" i="62" s="1"/>
  <c r="Z19" i="62" a="1"/>
  <c r="Z19" i="62" s="1"/>
  <c r="Z15" i="62" a="1"/>
  <c r="Z15" i="62" s="1"/>
  <c r="Z11" i="62" a="1"/>
  <c r="Z11" i="62" s="1"/>
  <c r="Z8" i="62" a="1"/>
  <c r="Z8" i="62" s="1"/>
  <c r="Z6" i="62" a="1"/>
  <c r="Z6" i="62" s="1"/>
  <c r="Z17" i="62" a="1"/>
  <c r="Z17" i="62" s="1"/>
  <c r="Z7" i="62" a="1"/>
  <c r="Z7" i="62" s="1"/>
  <c r="Z5" i="62" a="1"/>
  <c r="Z5" i="62" s="1"/>
  <c r="Z13" i="62" a="1"/>
  <c r="Z13" i="62" s="1"/>
  <c r="Z9" i="62" a="1"/>
  <c r="Z9" i="62" s="1"/>
  <c r="Z21" i="62" a="1"/>
  <c r="Z21" i="62" s="1"/>
  <c r="F6" i="63"/>
  <c r="F10" i="63"/>
  <c r="F14" i="63"/>
  <c r="F18" i="63"/>
  <c r="F22" i="63"/>
  <c r="F26" i="63"/>
  <c r="F30" i="63"/>
  <c r="F4" i="63" a="1"/>
  <c r="F4" i="63" s="1"/>
  <c r="F7" i="63"/>
  <c r="F11" i="63"/>
  <c r="F15" i="63"/>
  <c r="F19" i="63"/>
  <c r="F23" i="63"/>
  <c r="F27" i="63"/>
  <c r="F31" i="63"/>
  <c r="F9" i="63"/>
  <c r="F17" i="63"/>
  <c r="F25" i="63"/>
  <c r="F33" i="63"/>
  <c r="F24" i="63"/>
  <c r="F12" i="63"/>
  <c r="F20" i="63"/>
  <c r="F28" i="63"/>
  <c r="F16" i="63"/>
  <c r="F32" i="63"/>
  <c r="F5" i="63"/>
  <c r="F13" i="63"/>
  <c r="F21" i="63"/>
  <c r="F29" i="63"/>
  <c r="F8" i="63"/>
  <c r="Z6" i="63" a="1"/>
  <c r="Z6" i="63" s="1"/>
  <c r="Z11" i="63" a="1"/>
  <c r="Z11" i="63" s="1"/>
  <c r="Z14" i="63" a="1"/>
  <c r="Z14" i="63" s="1"/>
  <c r="Z19" i="63" a="1"/>
  <c r="Z19" i="63" s="1"/>
  <c r="Z22" i="63" a="1"/>
  <c r="Z22" i="63" s="1"/>
  <c r="Z27" i="63" a="1"/>
  <c r="Z27" i="63" s="1"/>
  <c r="Z30" i="63" a="1"/>
  <c r="Z30" i="63" s="1"/>
  <c r="Z9" i="63" a="1"/>
  <c r="Z9" i="63" s="1"/>
  <c r="Z12" i="63" a="1"/>
  <c r="Z12" i="63" s="1"/>
  <c r="Z17" i="63" a="1"/>
  <c r="Z17" i="63" s="1"/>
  <c r="Z20" i="63" a="1"/>
  <c r="Z20" i="63" s="1"/>
  <c r="Z25" i="63" a="1"/>
  <c r="Z25" i="63" s="1"/>
  <c r="Z28" i="63" a="1"/>
  <c r="Z28" i="63" s="1"/>
  <c r="Z33" i="63" a="1"/>
  <c r="Z33" i="63" s="1"/>
  <c r="Z8" i="63" a="1"/>
  <c r="Z8" i="63" s="1"/>
  <c r="Z13" i="63" a="1"/>
  <c r="Z13" i="63" s="1"/>
  <c r="Z24" i="63" a="1"/>
  <c r="Z24" i="63" s="1"/>
  <c r="Z29" i="63" a="1"/>
  <c r="Z29" i="63" s="1"/>
  <c r="Z18" i="63" a="1"/>
  <c r="Z18" i="63" s="1"/>
  <c r="Z23" i="63" a="1"/>
  <c r="Z23" i="63" s="1"/>
  <c r="Z4" i="63" a="1"/>
  <c r="Z4" i="63" s="1"/>
  <c r="Z10" i="63" a="1"/>
  <c r="Z10" i="63" s="1"/>
  <c r="Z15" i="63" a="1"/>
  <c r="Z15" i="63" s="1"/>
  <c r="Z26" i="63" a="1"/>
  <c r="Z26" i="63" s="1"/>
  <c r="Z31" i="63" a="1"/>
  <c r="Z31" i="63" s="1"/>
  <c r="Z7" i="63" a="1"/>
  <c r="Z7" i="63" s="1"/>
  <c r="Z5" i="63" a="1"/>
  <c r="Z5" i="63" s="1"/>
  <c r="Z16" i="63" a="1"/>
  <c r="Z16" i="63" s="1"/>
  <c r="Z21" i="63" a="1"/>
  <c r="Z21" i="63" s="1"/>
  <c r="Z32" i="63" a="1"/>
  <c r="Z32" i="63" s="1"/>
  <c r="K4" i="62" a="1"/>
  <c r="K4" i="62" s="1"/>
  <c r="K20" i="62" a="1"/>
  <c r="K20" i="62" s="1"/>
  <c r="K18" i="62" a="1"/>
  <c r="K18" i="62" s="1"/>
  <c r="K16" i="62" a="1"/>
  <c r="K16" i="62" s="1"/>
  <c r="K14" i="62" a="1"/>
  <c r="K14" i="62" s="1"/>
  <c r="K12" i="62" a="1"/>
  <c r="K12" i="62" s="1"/>
  <c r="K10" i="62" a="1"/>
  <c r="K10" i="62" s="1"/>
  <c r="K21" i="62" a="1"/>
  <c r="K21" i="62" s="1"/>
  <c r="K17" i="62" a="1"/>
  <c r="K17" i="62" s="1"/>
  <c r="K8" i="62" a="1"/>
  <c r="K8" i="62" s="1"/>
  <c r="K19" i="62" a="1"/>
  <c r="K19" i="62" s="1"/>
  <c r="K15" i="62" a="1"/>
  <c r="K15" i="62" s="1"/>
  <c r="K11" i="62" a="1"/>
  <c r="K11" i="62" s="1"/>
  <c r="K9" i="62" a="1"/>
  <c r="K9" i="62" s="1"/>
  <c r="K7" i="62" a="1"/>
  <c r="K7" i="62" s="1"/>
  <c r="K5" i="62" a="1"/>
  <c r="K5" i="62" s="1"/>
  <c r="K13" i="62" a="1"/>
  <c r="K13" i="62" s="1"/>
  <c r="K6" i="62" a="1"/>
  <c r="K6" i="62" s="1"/>
  <c r="K7" i="63" a="1"/>
  <c r="K7" i="63" s="1"/>
  <c r="K4" i="63" a="1"/>
  <c r="K4" i="63" s="1"/>
  <c r="P15" i="10" a="1"/>
  <c r="P15" i="10" s="1"/>
  <c r="P7" i="10" a="1"/>
  <c r="P7" i="10" s="1"/>
  <c r="P8" i="10" a="1"/>
  <c r="P8" i="10" s="1"/>
  <c r="P4" i="10" a="1"/>
  <c r="P4" i="10" s="1"/>
  <c r="P11" i="10" a="1"/>
  <c r="P11" i="10" s="1"/>
  <c r="P10" i="10" a="1"/>
  <c r="P10" i="10" s="1"/>
  <c r="P6" i="10" a="1"/>
  <c r="P6" i="10" s="1"/>
  <c r="P14" i="10" a="1"/>
  <c r="P14" i="10" s="1"/>
  <c r="P17" i="10" a="1"/>
  <c r="P17" i="10" s="1"/>
  <c r="P16" i="10" a="1"/>
  <c r="P16" i="10" s="1"/>
  <c r="P13" i="10" a="1"/>
  <c r="P13" i="10" s="1"/>
  <c r="P12" i="10" a="1"/>
  <c r="P12" i="10" s="1"/>
  <c r="P9" i="10" a="1"/>
  <c r="P9" i="10" s="1"/>
  <c r="P5" i="10" a="1"/>
  <c r="P5" i="10" s="1"/>
  <c r="K8" i="59"/>
  <c r="K6" i="59"/>
  <c r="K5" i="59"/>
  <c r="K4" i="59"/>
  <c r="K7" i="59"/>
  <c r="K33" i="63" a="1"/>
  <c r="K33" i="63" s="1"/>
  <c r="K32" i="63" a="1"/>
  <c r="K32" i="63" s="1"/>
  <c r="K17" i="10" a="1"/>
  <c r="K17" i="10" s="1"/>
  <c r="K14" i="10" a="1"/>
  <c r="K14" i="10" s="1"/>
  <c r="K13" i="10" a="1"/>
  <c r="K13" i="10" s="1"/>
  <c r="K8" i="10" a="1"/>
  <c r="K8" i="10" s="1"/>
  <c r="K4" i="10" a="1"/>
  <c r="K4" i="10" s="1"/>
  <c r="K16" i="10" a="1"/>
  <c r="K16" i="10" s="1"/>
  <c r="K7" i="10" a="1"/>
  <c r="K7" i="10" s="1"/>
  <c r="K12" i="10" a="1"/>
  <c r="K12" i="10" s="1"/>
  <c r="K11" i="10" a="1"/>
  <c r="K11" i="10" s="1"/>
  <c r="K9" i="10" a="1"/>
  <c r="K9" i="10" s="1"/>
  <c r="K5" i="10" a="1"/>
  <c r="K5" i="10" s="1"/>
  <c r="K15" i="10" a="1"/>
  <c r="K15" i="10" s="1"/>
  <c r="K10" i="10" a="1"/>
  <c r="K10" i="10" s="1"/>
  <c r="K6" i="10" a="1"/>
  <c r="K6" i="10" s="1"/>
  <c r="K6" i="63" a="1"/>
  <c r="K6" i="63" s="1"/>
  <c r="K18" i="63" a="1"/>
  <c r="K18" i="63" s="1"/>
  <c r="U16" i="10" a="1"/>
  <c r="U16" i="10" s="1"/>
  <c r="U12" i="10" a="1"/>
  <c r="U12" i="10" s="1"/>
  <c r="U11" i="10" a="1"/>
  <c r="U11" i="10" s="1"/>
  <c r="U6" i="10" a="1"/>
  <c r="U6" i="10" s="1"/>
  <c r="U10" i="10" a="1"/>
  <c r="U10" i="10" s="1"/>
  <c r="U17" i="10" a="1"/>
  <c r="U17" i="10" s="1"/>
  <c r="U13" i="10" a="1"/>
  <c r="U13" i="10" s="1"/>
  <c r="U9" i="10" a="1"/>
  <c r="U9" i="10" s="1"/>
  <c r="U5" i="10" a="1"/>
  <c r="U5" i="10" s="1"/>
  <c r="U14" i="10" a="1"/>
  <c r="U14" i="10" s="1"/>
  <c r="U8" i="10" a="1"/>
  <c r="U8" i="10" s="1"/>
  <c r="U4" i="10" a="1"/>
  <c r="U4" i="10" s="1"/>
  <c r="U15" i="10" a="1"/>
  <c r="U15" i="10" s="1"/>
  <c r="U7" i="10" a="1"/>
  <c r="U7" i="10" s="1"/>
  <c r="P45" i="61" a="1"/>
  <c r="P45" i="61" s="1"/>
  <c r="P46" i="61" a="1"/>
  <c r="P46" i="61" s="1"/>
  <c r="P44" i="61" a="1"/>
  <c r="P44" i="61" s="1"/>
  <c r="P43" i="61" a="1"/>
  <c r="P43" i="61" s="1"/>
  <c r="P42" i="61" a="1"/>
  <c r="P42" i="61" s="1"/>
  <c r="P41" i="61" a="1"/>
  <c r="P41" i="61" s="1"/>
  <c r="P49" i="61" a="1"/>
  <c r="P49" i="61" s="1"/>
  <c r="P47" i="61" a="1"/>
  <c r="P47" i="61" s="1"/>
  <c r="P28" i="61" a="1"/>
  <c r="P28" i="61" s="1"/>
  <c r="P27" i="61" a="1"/>
  <c r="P27" i="61" s="1"/>
  <c r="P20" i="61" a="1"/>
  <c r="P20" i="61" s="1"/>
  <c r="P19" i="61" a="1"/>
  <c r="P19" i="61" s="1"/>
  <c r="P12" i="61" a="1"/>
  <c r="P12" i="61" s="1"/>
  <c r="P11" i="61" a="1"/>
  <c r="P11" i="61" s="1"/>
  <c r="P39" i="61" a="1"/>
  <c r="P39" i="61" s="1"/>
  <c r="P38" i="61" a="1"/>
  <c r="P38" i="61" s="1"/>
  <c r="P37" i="61" a="1"/>
  <c r="P37" i="61" s="1"/>
  <c r="P14" i="61" a="1"/>
  <c r="P14" i="61" s="1"/>
  <c r="P13" i="61" a="1"/>
  <c r="P13" i="61" s="1"/>
  <c r="P36" i="61" a="1"/>
  <c r="P36" i="61" s="1"/>
  <c r="P35" i="61" a="1"/>
  <c r="P35" i="61" s="1"/>
  <c r="P34" i="61" a="1"/>
  <c r="P34" i="61" s="1"/>
  <c r="P33" i="61" a="1"/>
  <c r="P33" i="61" s="1"/>
  <c r="P21" i="61" a="1"/>
  <c r="P21" i="61" s="1"/>
  <c r="P16" i="61" a="1"/>
  <c r="P16" i="61" s="1"/>
  <c r="P15" i="61" a="1"/>
  <c r="P15" i="61" s="1"/>
  <c r="P8" i="61" a="1"/>
  <c r="P8" i="61" s="1"/>
  <c r="P7" i="61" a="1"/>
  <c r="P7" i="61" s="1"/>
  <c r="P48" i="61" a="1"/>
  <c r="P48" i="61" s="1"/>
  <c r="P40" i="61" a="1"/>
  <c r="P40" i="61" s="1"/>
  <c r="P32" i="61" a="1"/>
  <c r="P32" i="61" s="1"/>
  <c r="P30" i="61" a="1"/>
  <c r="P30" i="61" s="1"/>
  <c r="P26" i="61" a="1"/>
  <c r="P26" i="61" s="1"/>
  <c r="P24" i="61" a="1"/>
  <c r="P24" i="61" s="1"/>
  <c r="P22" i="61" a="1"/>
  <c r="P22" i="61" s="1"/>
  <c r="P9" i="61" a="1"/>
  <c r="P9" i="61" s="1"/>
  <c r="P4" i="61" a="1"/>
  <c r="P4" i="61" s="1"/>
  <c r="P17" i="61" a="1"/>
  <c r="P17" i="61" s="1"/>
  <c r="P6" i="61" a="1"/>
  <c r="P6" i="61" s="1"/>
  <c r="P5" i="61" a="1"/>
  <c r="P5" i="61" s="1"/>
  <c r="P18" i="61" a="1"/>
  <c r="P18" i="61" s="1"/>
  <c r="P31" i="61" a="1"/>
  <c r="P31" i="61" s="1"/>
  <c r="P29" i="61" a="1"/>
  <c r="P29" i="61" s="1"/>
  <c r="P25" i="61" a="1"/>
  <c r="P25" i="61" s="1"/>
  <c r="P23" i="61" a="1"/>
  <c r="P23" i="61" s="1"/>
  <c r="P10" i="61" a="1"/>
  <c r="P10" i="61" s="1"/>
  <c r="U43" i="80" a="1"/>
  <c r="U43" i="80" s="1"/>
  <c r="U42" i="80" a="1"/>
  <c r="U42" i="80" s="1"/>
  <c r="U41" i="80" a="1"/>
  <c r="U41" i="80" s="1"/>
  <c r="U36" i="80" a="1"/>
  <c r="U36" i="80" s="1"/>
  <c r="U35" i="80" a="1"/>
  <c r="U35" i="80" s="1"/>
  <c r="U31" i="80" a="1"/>
  <c r="U31" i="80" s="1"/>
  <c r="U26" i="80" a="1"/>
  <c r="U26" i="80" s="1"/>
  <c r="U25" i="80" a="1"/>
  <c r="U25" i="80" s="1"/>
  <c r="U20" i="80" a="1"/>
  <c r="U20" i="80" s="1"/>
  <c r="U19" i="80" a="1"/>
  <c r="U19" i="80" s="1"/>
  <c r="U15" i="80" a="1"/>
  <c r="U15" i="80" s="1"/>
  <c r="U11" i="80" a="1"/>
  <c r="U11" i="80" s="1"/>
  <c r="U6" i="80" a="1"/>
  <c r="U6" i="80" s="1"/>
  <c r="U39" i="80" a="1"/>
  <c r="U39" i="80" s="1"/>
  <c r="U29" i="80" a="1"/>
  <c r="U29" i="80" s="1"/>
  <c r="U28" i="80" a="1"/>
  <c r="U28" i="80" s="1"/>
  <c r="U21" i="80" a="1"/>
  <c r="U21" i="80" s="1"/>
  <c r="U18" i="80" a="1"/>
  <c r="U18" i="80" s="1"/>
  <c r="U7" i="80" a="1"/>
  <c r="U7" i="80" s="1"/>
  <c r="U38" i="80" a="1"/>
  <c r="U38" i="80" s="1"/>
  <c r="U33" i="80" a="1"/>
  <c r="U33" i="80" s="1"/>
  <c r="U32" i="80" a="1"/>
  <c r="U32" i="80" s="1"/>
  <c r="U24" i="80" a="1"/>
  <c r="U24" i="80" s="1"/>
  <c r="U13" i="80" a="1"/>
  <c r="U13" i="80" s="1"/>
  <c r="U12" i="80" a="1"/>
  <c r="U12" i="80" s="1"/>
  <c r="U8" i="80" a="1"/>
  <c r="U8" i="80" s="1"/>
  <c r="U40" i="80" a="1"/>
  <c r="U40" i="80" s="1"/>
  <c r="U30" i="80" a="1"/>
  <c r="U30" i="80" s="1"/>
  <c r="U27" i="80" a="1"/>
  <c r="U27" i="80" s="1"/>
  <c r="U22" i="80" a="1"/>
  <c r="U22" i="80" s="1"/>
  <c r="U17" i="80" a="1"/>
  <c r="U17" i="80" s="1"/>
  <c r="U16" i="80" a="1"/>
  <c r="U16" i="80" s="1"/>
  <c r="U9" i="80" a="1"/>
  <c r="U9" i="80" s="1"/>
  <c r="U5" i="80" a="1"/>
  <c r="U5" i="80" s="1"/>
  <c r="U14" i="80" a="1"/>
  <c r="U14" i="80" s="1"/>
  <c r="U23" i="80" a="1"/>
  <c r="U23" i="80" s="1"/>
  <c r="U37" i="80" a="1"/>
  <c r="U37" i="80" s="1"/>
  <c r="U4" i="80" a="1"/>
  <c r="U4" i="80" s="1"/>
  <c r="U10" i="80" a="1"/>
  <c r="U10" i="80" s="1"/>
  <c r="U34" i="80" a="1"/>
  <c r="U34" i="80" s="1"/>
  <c r="F5" i="61" a="1"/>
  <c r="F5" i="61" s="1"/>
  <c r="F47" i="61" a="1"/>
  <c r="F47" i="61" s="1"/>
  <c r="F46" i="61" a="1"/>
  <c r="F46" i="61" s="1"/>
  <c r="F43" i="61" a="1"/>
  <c r="F43" i="61" s="1"/>
  <c r="F42" i="61" a="1"/>
  <c r="F42" i="61" s="1"/>
  <c r="F41" i="61" a="1"/>
  <c r="F41" i="61" s="1"/>
  <c r="F40" i="61" a="1"/>
  <c r="F40" i="61" s="1"/>
  <c r="F48" i="61" a="1"/>
  <c r="F48" i="61" s="1"/>
  <c r="F49" i="61" a="1"/>
  <c r="F49" i="61" s="1"/>
  <c r="F39" i="61" a="1"/>
  <c r="F39" i="61" s="1"/>
  <c r="F38" i="61" a="1"/>
  <c r="F38" i="61" s="1"/>
  <c r="F37" i="61" a="1"/>
  <c r="F37" i="61" s="1"/>
  <c r="F36" i="61" a="1"/>
  <c r="F36" i="61" s="1"/>
  <c r="F21" i="61" a="1"/>
  <c r="F21" i="61" s="1"/>
  <c r="F15" i="61" a="1"/>
  <c r="F15" i="61" s="1"/>
  <c r="F14" i="61" a="1"/>
  <c r="F14" i="61" s="1"/>
  <c r="F45" i="61" a="1"/>
  <c r="F45" i="61" s="1"/>
  <c r="F35" i="61" a="1"/>
  <c r="F35" i="61" s="1"/>
  <c r="F34" i="61" a="1"/>
  <c r="F34" i="61" s="1"/>
  <c r="F33" i="61" a="1"/>
  <c r="F33" i="61" s="1"/>
  <c r="F32" i="61" a="1"/>
  <c r="F32" i="61" s="1"/>
  <c r="F24" i="61" a="1"/>
  <c r="F24" i="61" s="1"/>
  <c r="F22" i="61" a="1"/>
  <c r="F22" i="61" s="1"/>
  <c r="F17" i="61" a="1"/>
  <c r="F17" i="61" s="1"/>
  <c r="F16" i="61" a="1"/>
  <c r="F16" i="61" s="1"/>
  <c r="F9" i="61" a="1"/>
  <c r="F9" i="61" s="1"/>
  <c r="F8" i="61" a="1"/>
  <c r="F8" i="61" s="1"/>
  <c r="F31" i="61" a="1"/>
  <c r="F31" i="61" s="1"/>
  <c r="F30" i="61" a="1"/>
  <c r="F30" i="61" s="1"/>
  <c r="F29" i="61" a="1"/>
  <c r="F29" i="61" s="1"/>
  <c r="F28" i="61" a="1"/>
  <c r="F28" i="61" s="1"/>
  <c r="F27" i="61" a="1"/>
  <c r="F27" i="61" s="1"/>
  <c r="F26" i="61" a="1"/>
  <c r="F26" i="61" s="1"/>
  <c r="F25" i="61" a="1"/>
  <c r="F25" i="61" s="1"/>
  <c r="F23" i="61" a="1"/>
  <c r="F23" i="61" s="1"/>
  <c r="F19" i="61" a="1"/>
  <c r="F19" i="61" s="1"/>
  <c r="F18" i="61" a="1"/>
  <c r="F18" i="61" s="1"/>
  <c r="F11" i="61" a="1"/>
  <c r="F11" i="61" s="1"/>
  <c r="F10" i="61" a="1"/>
  <c r="F10" i="61" s="1"/>
  <c r="F20" i="61" a="1"/>
  <c r="F20" i="61" s="1"/>
  <c r="F7" i="61" a="1"/>
  <c r="F7" i="61" s="1"/>
  <c r="F6" i="61" a="1"/>
  <c r="F6" i="61" s="1"/>
  <c r="F13" i="61" a="1"/>
  <c r="F13" i="61" s="1"/>
  <c r="F4" i="61" a="1"/>
  <c r="F4" i="61" s="1"/>
  <c r="F44" i="61" a="1"/>
  <c r="F44" i="61" s="1"/>
  <c r="F12" i="61" a="1"/>
  <c r="F12" i="61" s="1"/>
  <c r="Z48" i="61" a="1"/>
  <c r="Z48" i="61" s="1"/>
  <c r="Z49" i="61" a="1"/>
  <c r="Z49" i="61" s="1"/>
  <c r="Z46" i="61" a="1"/>
  <c r="Z46" i="61" s="1"/>
  <c r="Z45" i="61" a="1"/>
  <c r="Z45" i="61" s="1"/>
  <c r="Z44" i="61" a="1"/>
  <c r="Z44" i="61" s="1"/>
  <c r="Z43" i="61" a="1"/>
  <c r="Z43" i="61" s="1"/>
  <c r="Z42" i="61" a="1"/>
  <c r="Z42" i="61" s="1"/>
  <c r="Z47" i="61" a="1"/>
  <c r="Z47" i="61" s="1"/>
  <c r="Z41" i="61" a="1"/>
  <c r="Z41" i="61" s="1"/>
  <c r="Z33" i="61" a="1"/>
  <c r="Z33" i="61" s="1"/>
  <c r="Z32" i="61" a="1"/>
  <c r="Z32" i="61" s="1"/>
  <c r="Z31" i="61" a="1"/>
  <c r="Z31" i="61" s="1"/>
  <c r="Z30" i="61" a="1"/>
  <c r="Z30" i="61" s="1"/>
  <c r="Z26" i="61" a="1"/>
  <c r="Z26" i="61" s="1"/>
  <c r="Z23" i="61" a="1"/>
  <c r="Z23" i="61" s="1"/>
  <c r="Z22" i="61" a="1"/>
  <c r="Z22" i="61" s="1"/>
  <c r="Z17" i="61" a="1"/>
  <c r="Z17" i="61" s="1"/>
  <c r="Z16" i="61" a="1"/>
  <c r="Z16" i="61" s="1"/>
  <c r="Z9" i="61" a="1"/>
  <c r="Z9" i="61" s="1"/>
  <c r="Z29" i="61" a="1"/>
  <c r="Z29" i="61" s="1"/>
  <c r="Z28" i="61" a="1"/>
  <c r="Z28" i="61" s="1"/>
  <c r="Z27" i="61" a="1"/>
  <c r="Z27" i="61" s="1"/>
  <c r="Z25" i="61" a="1"/>
  <c r="Z25" i="61" s="1"/>
  <c r="Z24" i="61" a="1"/>
  <c r="Z24" i="61" s="1"/>
  <c r="Z19" i="61" a="1"/>
  <c r="Z19" i="61" s="1"/>
  <c r="Z18" i="61" a="1"/>
  <c r="Z18" i="61" s="1"/>
  <c r="Z11" i="61" a="1"/>
  <c r="Z11" i="61" s="1"/>
  <c r="Z10" i="61" a="1"/>
  <c r="Z10" i="61" s="1"/>
  <c r="Z40" i="61" a="1"/>
  <c r="Z40" i="61" s="1"/>
  <c r="Z39" i="61" a="1"/>
  <c r="Z39" i="61" s="1"/>
  <c r="Z38" i="61" a="1"/>
  <c r="Z38" i="61" s="1"/>
  <c r="Z20" i="61" a="1"/>
  <c r="Z20" i="61" s="1"/>
  <c r="Z13" i="61" a="1"/>
  <c r="Z13" i="61" s="1"/>
  <c r="Z12" i="61" a="1"/>
  <c r="Z12" i="61" s="1"/>
  <c r="Z15" i="61" a="1"/>
  <c r="Z15" i="61" s="1"/>
  <c r="Z36" i="61" a="1"/>
  <c r="Z36" i="61" s="1"/>
  <c r="Z6" i="61" a="1"/>
  <c r="Z6" i="61" s="1"/>
  <c r="Z37" i="61" a="1"/>
  <c r="Z37" i="61" s="1"/>
  <c r="Z35" i="61" a="1"/>
  <c r="Z35" i="61" s="1"/>
  <c r="Z21" i="61" a="1"/>
  <c r="Z21" i="61" s="1"/>
  <c r="Z7" i="61" a="1"/>
  <c r="Z7" i="61" s="1"/>
  <c r="Z4" i="61" a="1"/>
  <c r="Z4" i="61" s="1"/>
  <c r="Z14" i="61" a="1"/>
  <c r="Z14" i="61" s="1"/>
  <c r="Z8" i="61" a="1"/>
  <c r="Z8" i="61" s="1"/>
  <c r="Z5" i="61" a="1"/>
  <c r="Z5" i="61" s="1"/>
  <c r="Z34" i="61" a="1"/>
  <c r="Z34" i="61" s="1"/>
  <c r="P5" i="59"/>
  <c r="P4" i="59"/>
  <c r="P8" i="59"/>
  <c r="P6" i="59"/>
  <c r="P7" i="59"/>
  <c r="K49" i="61" a="1"/>
  <c r="K49" i="61" s="1"/>
  <c r="K48" i="61" a="1"/>
  <c r="K48" i="61" s="1"/>
  <c r="K45" i="61" a="1"/>
  <c r="K45" i="61" s="1"/>
  <c r="K46" i="61" a="1"/>
  <c r="K46" i="61" s="1"/>
  <c r="K44" i="61" a="1"/>
  <c r="K44" i="61" s="1"/>
  <c r="K43" i="61" a="1"/>
  <c r="K43" i="61" s="1"/>
  <c r="K42" i="61" a="1"/>
  <c r="K42" i="61" s="1"/>
  <c r="K41" i="61" a="1"/>
  <c r="K41" i="61" s="1"/>
  <c r="K40" i="61" a="1"/>
  <c r="K40" i="61" s="1"/>
  <c r="K32" i="61" a="1"/>
  <c r="K32" i="61" s="1"/>
  <c r="K31" i="61" a="1"/>
  <c r="K31" i="61" s="1"/>
  <c r="K30" i="61" a="1"/>
  <c r="K30" i="61" s="1"/>
  <c r="K29" i="61" a="1"/>
  <c r="K29" i="61" s="1"/>
  <c r="K26" i="61" a="1"/>
  <c r="K26" i="61" s="1"/>
  <c r="K25" i="61" a="1"/>
  <c r="K25" i="61" s="1"/>
  <c r="K24" i="61" a="1"/>
  <c r="K24" i="61" s="1"/>
  <c r="K23" i="61" a="1"/>
  <c r="K23" i="61" s="1"/>
  <c r="K22" i="61" a="1"/>
  <c r="K22" i="61" s="1"/>
  <c r="K18" i="61" a="1"/>
  <c r="K18" i="61" s="1"/>
  <c r="K17" i="61" a="1"/>
  <c r="K17" i="61" s="1"/>
  <c r="K10" i="61" a="1"/>
  <c r="K10" i="61" s="1"/>
  <c r="K9" i="61" a="1"/>
  <c r="K9" i="61" s="1"/>
  <c r="K47" i="61" a="1"/>
  <c r="K47" i="61" s="1"/>
  <c r="K28" i="61" a="1"/>
  <c r="K28" i="61" s="1"/>
  <c r="K27" i="61" a="1"/>
  <c r="K27" i="61" s="1"/>
  <c r="K20" i="61" a="1"/>
  <c r="K20" i="61" s="1"/>
  <c r="K19" i="61" a="1"/>
  <c r="K19" i="61" s="1"/>
  <c r="K12" i="61" a="1"/>
  <c r="K12" i="61" s="1"/>
  <c r="K11" i="61" a="1"/>
  <c r="K11" i="61" s="1"/>
  <c r="K39" i="61" a="1"/>
  <c r="K39" i="61" s="1"/>
  <c r="K38" i="61" a="1"/>
  <c r="K38" i="61" s="1"/>
  <c r="K37" i="61" a="1"/>
  <c r="K37" i="61" s="1"/>
  <c r="K14" i="61" a="1"/>
  <c r="K14" i="61" s="1"/>
  <c r="K13" i="61" a="1"/>
  <c r="K13" i="61" s="1"/>
  <c r="K36" i="61" a="1"/>
  <c r="K36" i="61" s="1"/>
  <c r="K34" i="61" a="1"/>
  <c r="K34" i="61" s="1"/>
  <c r="K16" i="61" a="1"/>
  <c r="K16" i="61" s="1"/>
  <c r="K8" i="61" a="1"/>
  <c r="K8" i="61" s="1"/>
  <c r="K15" i="61" a="1"/>
  <c r="K15" i="61" s="1"/>
  <c r="K4" i="61" a="1"/>
  <c r="K4" i="61" s="1"/>
  <c r="K7" i="61" a="1"/>
  <c r="K7" i="61" s="1"/>
  <c r="K35" i="61" a="1"/>
  <c r="K35" i="61" s="1"/>
  <c r="K33" i="61" a="1"/>
  <c r="K33" i="61" s="1"/>
  <c r="K21" i="61" a="1"/>
  <c r="K21" i="61" s="1"/>
  <c r="K6" i="61" a="1"/>
  <c r="K6" i="61" s="1"/>
  <c r="K5" i="61" a="1"/>
  <c r="K5" i="61" s="1"/>
  <c r="K15" i="63" a="1"/>
  <c r="K15" i="63" s="1"/>
  <c r="F16" i="10" a="1"/>
  <c r="F16" i="10" s="1"/>
  <c r="F11" i="10" a="1"/>
  <c r="F11" i="10" s="1"/>
  <c r="F9" i="10" a="1"/>
  <c r="F9" i="10" s="1"/>
  <c r="F5" i="10" a="1"/>
  <c r="F5" i="10" s="1"/>
  <c r="F15" i="10" a="1"/>
  <c r="F15" i="10" s="1"/>
  <c r="F6" i="10" a="1"/>
  <c r="F6" i="10" s="1"/>
  <c r="F17" i="10" a="1"/>
  <c r="F17" i="10" s="1"/>
  <c r="F13" i="10" a="1"/>
  <c r="F13" i="10" s="1"/>
  <c r="F12" i="10" a="1"/>
  <c r="F12" i="10" s="1"/>
  <c r="F8" i="10" a="1"/>
  <c r="F8" i="10" s="1"/>
  <c r="F4" i="10" a="1"/>
  <c r="F4" i="10" s="1"/>
  <c r="F14" i="10" a="1"/>
  <c r="F14" i="10" s="1"/>
  <c r="F7" i="10" a="1"/>
  <c r="F7" i="10" s="1"/>
  <c r="F10" i="10" a="1"/>
  <c r="F10" i="10" s="1"/>
  <c r="A45" i="61" a="1"/>
  <c r="A45" i="61" s="1"/>
  <c r="A44" i="61" a="1"/>
  <c r="A44" i="61" s="1"/>
  <c r="A47" i="61" a="1"/>
  <c r="A47" i="61" s="1"/>
  <c r="A46" i="61" a="1"/>
  <c r="A46" i="61" s="1"/>
  <c r="A43" i="61" a="1"/>
  <c r="A43" i="61" s="1"/>
  <c r="A42" i="61" a="1"/>
  <c r="A42" i="61" s="1"/>
  <c r="A41" i="61" a="1"/>
  <c r="A41" i="61" s="1"/>
  <c r="A40" i="61" a="1"/>
  <c r="A40" i="61" s="1"/>
  <c r="A48" i="61" a="1"/>
  <c r="A48" i="61" s="1"/>
  <c r="A20" i="61" a="1"/>
  <c r="A20" i="61" s="1"/>
  <c r="A13" i="61" a="1"/>
  <c r="A13" i="61" s="1"/>
  <c r="A12" i="61" a="1"/>
  <c r="A12" i="61" s="1"/>
  <c r="A39" i="61" a="1"/>
  <c r="A39" i="61" s="1"/>
  <c r="A38" i="61" a="1"/>
  <c r="A38" i="61" s="1"/>
  <c r="A37" i="61" a="1"/>
  <c r="A37" i="61" s="1"/>
  <c r="A36" i="61" a="1"/>
  <c r="A36" i="61" s="1"/>
  <c r="A21" i="61" a="1"/>
  <c r="A21" i="61" s="1"/>
  <c r="A15" i="61" a="1"/>
  <c r="A15" i="61" s="1"/>
  <c r="A14" i="61" a="1"/>
  <c r="A14" i="61" s="1"/>
  <c r="A49" i="61" a="1"/>
  <c r="A49" i="61" s="1"/>
  <c r="A35" i="61" a="1"/>
  <c r="A35" i="61" s="1"/>
  <c r="A34" i="61" a="1"/>
  <c r="A34" i="61" s="1"/>
  <c r="A33" i="61" a="1"/>
  <c r="A33" i="61" s="1"/>
  <c r="A32" i="61" a="1"/>
  <c r="A32" i="61" s="1"/>
  <c r="A24" i="61" a="1"/>
  <c r="A24" i="61" s="1"/>
  <c r="A22" i="61" a="1"/>
  <c r="A22" i="61" s="1"/>
  <c r="A17" i="61" a="1"/>
  <c r="A17" i="61" s="1"/>
  <c r="A16" i="61" a="1"/>
  <c r="A16" i="61" s="1"/>
  <c r="A9" i="61" a="1"/>
  <c r="A9" i="61" s="1"/>
  <c r="A8" i="61" a="1"/>
  <c r="A8" i="61" s="1"/>
  <c r="A18" i="61" a="1"/>
  <c r="A18" i="61" s="1"/>
  <c r="A4" i="61" a="1"/>
  <c r="A4" i="61" s="1"/>
  <c r="A29" i="61" a="1"/>
  <c r="A29" i="61" s="1"/>
  <c r="A27" i="61" a="1"/>
  <c r="A27" i="61" s="1"/>
  <c r="A5" i="61" a="1"/>
  <c r="A5" i="61" s="1"/>
  <c r="A30" i="61" a="1"/>
  <c r="A30" i="61" s="1"/>
  <c r="A28" i="61" a="1"/>
  <c r="A28" i="61" s="1"/>
  <c r="A26" i="61" a="1"/>
  <c r="A26" i="61" s="1"/>
  <c r="A11" i="61" a="1"/>
  <c r="A11" i="61" s="1"/>
  <c r="A7" i="61" a="1"/>
  <c r="A7" i="61" s="1"/>
  <c r="A6" i="61" a="1"/>
  <c r="A6" i="61" s="1"/>
  <c r="A31" i="61" a="1"/>
  <c r="A31" i="61" s="1"/>
  <c r="A25" i="61" a="1"/>
  <c r="A25" i="61" s="1"/>
  <c r="A10" i="61" a="1"/>
  <c r="A10" i="61" s="1"/>
  <c r="A19" i="61" a="1"/>
  <c r="A19" i="61" s="1"/>
  <c r="A23" i="61" a="1"/>
  <c r="A23" i="61" s="1"/>
  <c r="U49" i="61" a="1"/>
  <c r="U49" i="61" s="1"/>
  <c r="U47" i="61" a="1"/>
  <c r="U47" i="61" s="1"/>
  <c r="U41" i="61" a="1"/>
  <c r="U41" i="61" s="1"/>
  <c r="U40" i="61" a="1"/>
  <c r="U40" i="61" s="1"/>
  <c r="U48" i="61" a="1"/>
  <c r="U48" i="61" s="1"/>
  <c r="U45" i="61" a="1"/>
  <c r="U45" i="61" s="1"/>
  <c r="U43" i="61" a="1"/>
  <c r="U43" i="61" s="1"/>
  <c r="U37" i="61" a="1"/>
  <c r="U37" i="61" s="1"/>
  <c r="U36" i="61" a="1"/>
  <c r="U36" i="61" s="1"/>
  <c r="U35" i="61" a="1"/>
  <c r="U35" i="61" s="1"/>
  <c r="U34" i="61" a="1"/>
  <c r="U34" i="61" s="1"/>
  <c r="U21" i="61" a="1"/>
  <c r="U21" i="61" s="1"/>
  <c r="U15" i="61" a="1"/>
  <c r="U15" i="61" s="1"/>
  <c r="U14" i="61" a="1"/>
  <c r="U14" i="61" s="1"/>
  <c r="U33" i="61" a="1"/>
  <c r="U33" i="61" s="1"/>
  <c r="U32" i="61" a="1"/>
  <c r="U32" i="61" s="1"/>
  <c r="U31" i="61" a="1"/>
  <c r="U31" i="61" s="1"/>
  <c r="U30" i="61" a="1"/>
  <c r="U30" i="61" s="1"/>
  <c r="U26" i="61" a="1"/>
  <c r="U26" i="61" s="1"/>
  <c r="U23" i="61" a="1"/>
  <c r="U23" i="61" s="1"/>
  <c r="U22" i="61" a="1"/>
  <c r="U22" i="61" s="1"/>
  <c r="U17" i="61" a="1"/>
  <c r="U17" i="61" s="1"/>
  <c r="U16" i="61" a="1"/>
  <c r="U16" i="61" s="1"/>
  <c r="U9" i="61" a="1"/>
  <c r="U9" i="61" s="1"/>
  <c r="U8" i="61" a="1"/>
  <c r="U8" i="61" s="1"/>
  <c r="U46" i="61" a="1"/>
  <c r="U46" i="61" s="1"/>
  <c r="U44" i="61" a="1"/>
  <c r="U44" i="61" s="1"/>
  <c r="U42" i="61" a="1"/>
  <c r="U42" i="61" s="1"/>
  <c r="U29" i="61" a="1"/>
  <c r="U29" i="61" s="1"/>
  <c r="U28" i="61" a="1"/>
  <c r="U28" i="61" s="1"/>
  <c r="U27" i="61" a="1"/>
  <c r="U27" i="61" s="1"/>
  <c r="U25" i="61" a="1"/>
  <c r="U25" i="61" s="1"/>
  <c r="U24" i="61" a="1"/>
  <c r="U24" i="61" s="1"/>
  <c r="U19" i="61" a="1"/>
  <c r="U19" i="61" s="1"/>
  <c r="U18" i="61" a="1"/>
  <c r="U18" i="61" s="1"/>
  <c r="U11" i="61" a="1"/>
  <c r="U11" i="61" s="1"/>
  <c r="U10" i="61" a="1"/>
  <c r="U10" i="61" s="1"/>
  <c r="U13" i="61" a="1"/>
  <c r="U13" i="61" s="1"/>
  <c r="U6" i="61" a="1"/>
  <c r="U6" i="61" s="1"/>
  <c r="U20" i="61" a="1"/>
  <c r="U20" i="61" s="1"/>
  <c r="U39" i="61" a="1"/>
  <c r="U39" i="61" s="1"/>
  <c r="U38" i="61" a="1"/>
  <c r="U38" i="61" s="1"/>
  <c r="U12" i="61" a="1"/>
  <c r="U12" i="61" s="1"/>
  <c r="U7" i="61" a="1"/>
  <c r="U7" i="61" s="1"/>
  <c r="U4" i="61" a="1"/>
  <c r="U4" i="61" s="1"/>
  <c r="U5" i="61" a="1"/>
  <c r="U5" i="61" s="1"/>
  <c r="F43" i="80" a="1"/>
  <c r="F43" i="80" s="1"/>
  <c r="F42" i="80" a="1"/>
  <c r="F42" i="80" s="1"/>
  <c r="F37" i="80" a="1"/>
  <c r="F37" i="80" s="1"/>
  <c r="F34" i="80" a="1"/>
  <c r="F34" i="80" s="1"/>
  <c r="F30" i="80" a="1"/>
  <c r="F30" i="80" s="1"/>
  <c r="F24" i="80" a="1"/>
  <c r="F24" i="80" s="1"/>
  <c r="F21" i="80" a="1"/>
  <c r="F21" i="80" s="1"/>
  <c r="F18" i="80" a="1"/>
  <c r="F18" i="80" s="1"/>
  <c r="F14" i="80" a="1"/>
  <c r="F14" i="80" s="1"/>
  <c r="F7" i="80" a="1"/>
  <c r="F7" i="80" s="1"/>
  <c r="F6" i="80" a="1"/>
  <c r="F6" i="80" s="1"/>
  <c r="F32" i="80" a="1"/>
  <c r="F32" i="80" s="1"/>
  <c r="F31" i="80" a="1"/>
  <c r="F31" i="80" s="1"/>
  <c r="F23" i="80" a="1"/>
  <c r="F23" i="80" s="1"/>
  <c r="F22" i="80" a="1"/>
  <c r="F22" i="80" s="1"/>
  <c r="F12" i="80" a="1"/>
  <c r="F12" i="80" s="1"/>
  <c r="F11" i="80" a="1"/>
  <c r="F11" i="80" s="1"/>
  <c r="F8" i="80" a="1"/>
  <c r="F8" i="80" s="1"/>
  <c r="F40" i="80" a="1"/>
  <c r="F40" i="80" s="1"/>
  <c r="F36" i="80" a="1"/>
  <c r="F36" i="80" s="1"/>
  <c r="F35" i="80" a="1"/>
  <c r="F35" i="80" s="1"/>
  <c r="F29" i="80" a="1"/>
  <c r="F29" i="80" s="1"/>
  <c r="F16" i="80" a="1"/>
  <c r="F16" i="80" s="1"/>
  <c r="F15" i="80" a="1"/>
  <c r="F15" i="80" s="1"/>
  <c r="F33" i="80" a="1"/>
  <c r="F33" i="80" s="1"/>
  <c r="F28" i="80" a="1"/>
  <c r="F28" i="80" s="1"/>
  <c r="F27" i="80" a="1"/>
  <c r="F27" i="80" s="1"/>
  <c r="F20" i="80" a="1"/>
  <c r="F20" i="80" s="1"/>
  <c r="F19" i="80" a="1"/>
  <c r="F19" i="80" s="1"/>
  <c r="F13" i="80" a="1"/>
  <c r="F13" i="80" s="1"/>
  <c r="F10" i="80" a="1"/>
  <c r="F10" i="80" s="1"/>
  <c r="F9" i="80" a="1"/>
  <c r="F9" i="80" s="1"/>
  <c r="F39" i="80" a="1"/>
  <c r="F39" i="80" s="1"/>
  <c r="F17" i="80" a="1"/>
  <c r="F17" i="80" s="1"/>
  <c r="F41" i="80" a="1"/>
  <c r="F41" i="80" s="1"/>
  <c r="F38" i="80" a="1"/>
  <c r="F38" i="80" s="1"/>
  <c r="F26" i="80" a="1"/>
  <c r="F26" i="80" s="1"/>
  <c r="F5" i="80" a="1"/>
  <c r="F5" i="80" s="1"/>
  <c r="F4" i="80" a="1"/>
  <c r="F4" i="80" s="1"/>
  <c r="F25" i="80" a="1"/>
  <c r="F25" i="80" s="1"/>
  <c r="Z42" i="80" a="1"/>
  <c r="Z42" i="80" s="1"/>
  <c r="Z43" i="80" a="1"/>
  <c r="Z43" i="80" s="1"/>
  <c r="Z37" i="80" a="1"/>
  <c r="Z37" i="80" s="1"/>
  <c r="Z34" i="80" a="1"/>
  <c r="Z34" i="80" s="1"/>
  <c r="Z30" i="80" a="1"/>
  <c r="Z30" i="80" s="1"/>
  <c r="Z24" i="80" a="1"/>
  <c r="Z24" i="80" s="1"/>
  <c r="Z21" i="80" a="1"/>
  <c r="Z21" i="80" s="1"/>
  <c r="Z18" i="80" a="1"/>
  <c r="Z18" i="80" s="1"/>
  <c r="Z14" i="80" a="1"/>
  <c r="Z14" i="80" s="1"/>
  <c r="Z10" i="80" a="1"/>
  <c r="Z10" i="80" s="1"/>
  <c r="Z8" i="80" a="1"/>
  <c r="Z8" i="80" s="1"/>
  <c r="Z7" i="80" a="1"/>
  <c r="Z7" i="80" s="1"/>
  <c r="Z41" i="80" a="1"/>
  <c r="Z41" i="80" s="1"/>
  <c r="Z38" i="80" a="1"/>
  <c r="Z38" i="80" s="1"/>
  <c r="Z33" i="80" a="1"/>
  <c r="Z33" i="80" s="1"/>
  <c r="Z32" i="80" a="1"/>
  <c r="Z32" i="80" s="1"/>
  <c r="Z27" i="80" a="1"/>
  <c r="Z27" i="80" s="1"/>
  <c r="Z26" i="80" a="1"/>
  <c r="Z26" i="80" s="1"/>
  <c r="Z19" i="80" a="1"/>
  <c r="Z19" i="80" s="1"/>
  <c r="Z13" i="80" a="1"/>
  <c r="Z13" i="80" s="1"/>
  <c r="Z12" i="80" a="1"/>
  <c r="Z12" i="80" s="1"/>
  <c r="Z9" i="80" a="1"/>
  <c r="Z9" i="80" s="1"/>
  <c r="Z40" i="80" a="1"/>
  <c r="Z40" i="80" s="1"/>
  <c r="Z25" i="80" a="1"/>
  <c r="Z25" i="80" s="1"/>
  <c r="Z22" i="80" a="1"/>
  <c r="Z22" i="80" s="1"/>
  <c r="Z17" i="80" a="1"/>
  <c r="Z17" i="80" s="1"/>
  <c r="Z16" i="80" a="1"/>
  <c r="Z16" i="80" s="1"/>
  <c r="Z5" i="80" a="1"/>
  <c r="Z5" i="80" s="1"/>
  <c r="Z39" i="80" a="1"/>
  <c r="Z39" i="80" s="1"/>
  <c r="Z36" i="80" a="1"/>
  <c r="Z36" i="80" s="1"/>
  <c r="Z31" i="80" a="1"/>
  <c r="Z31" i="80" s="1"/>
  <c r="Z23" i="80" a="1"/>
  <c r="Z23" i="80" s="1"/>
  <c r="Z11" i="80" a="1"/>
  <c r="Z11" i="80" s="1"/>
  <c r="Z6" i="80" a="1"/>
  <c r="Z6" i="80" s="1"/>
  <c r="Z4" i="80" a="1"/>
  <c r="Z4" i="80" s="1"/>
  <c r="Z35" i="80" a="1"/>
  <c r="Z35" i="80" s="1"/>
  <c r="Z28" i="80" a="1"/>
  <c r="Z28" i="80" s="1"/>
  <c r="Z20" i="80" a="1"/>
  <c r="Z20" i="80" s="1"/>
  <c r="Z15" i="80" a="1"/>
  <c r="Z15" i="80" s="1"/>
  <c r="Z29" i="80" a="1"/>
  <c r="Z29" i="80" s="1"/>
  <c r="K43" i="80" a="1"/>
  <c r="K43" i="80" s="1"/>
  <c r="K38" i="80" a="1"/>
  <c r="K38" i="80" s="1"/>
  <c r="K35" i="80" a="1"/>
  <c r="K35" i="80" s="1"/>
  <c r="K31" i="80" a="1"/>
  <c r="K31" i="80" s="1"/>
  <c r="K25" i="80" a="1"/>
  <c r="K25" i="80" s="1"/>
  <c r="K22" i="80" a="1"/>
  <c r="K22" i="80" s="1"/>
  <c r="K19" i="80" a="1"/>
  <c r="K19" i="80" s="1"/>
  <c r="K15" i="80" a="1"/>
  <c r="K15" i="80" s="1"/>
  <c r="K11" i="80" a="1"/>
  <c r="K11" i="80" s="1"/>
  <c r="K8" i="80" a="1"/>
  <c r="K8" i="80" s="1"/>
  <c r="K40" i="80" a="1"/>
  <c r="K40" i="80" s="1"/>
  <c r="K36" i="80" a="1"/>
  <c r="K36" i="80" s="1"/>
  <c r="K33" i="80" a="1"/>
  <c r="K33" i="80" s="1"/>
  <c r="K30" i="80" a="1"/>
  <c r="K30" i="80" s="1"/>
  <c r="K16" i="80" a="1"/>
  <c r="K16" i="80" s="1"/>
  <c r="K13" i="80" a="1"/>
  <c r="K13" i="80" s="1"/>
  <c r="K42" i="80" a="1"/>
  <c r="K42" i="80" s="1"/>
  <c r="K34" i="80" a="1"/>
  <c r="K34" i="80" s="1"/>
  <c r="K28" i="80" a="1"/>
  <c r="K28" i="80" s="1"/>
  <c r="K27" i="80" a="1"/>
  <c r="K27" i="80" s="1"/>
  <c r="K20" i="80" a="1"/>
  <c r="K20" i="80" s="1"/>
  <c r="K17" i="80" a="1"/>
  <c r="K17" i="80" s="1"/>
  <c r="K14" i="80" a="1"/>
  <c r="K14" i="80" s="1"/>
  <c r="K10" i="80" a="1"/>
  <c r="K10" i="80" s="1"/>
  <c r="K9" i="80" a="1"/>
  <c r="K9" i="80" s="1"/>
  <c r="K5" i="80" a="1"/>
  <c r="K5" i="80" s="1"/>
  <c r="K41" i="80" a="1"/>
  <c r="K41" i="80" s="1"/>
  <c r="K39" i="80" a="1"/>
  <c r="K39" i="80" s="1"/>
  <c r="K37" i="80" a="1"/>
  <c r="K37" i="80" s="1"/>
  <c r="K26" i="80" a="1"/>
  <c r="K26" i="80" s="1"/>
  <c r="K23" i="80" a="1"/>
  <c r="K23" i="80" s="1"/>
  <c r="K18" i="80" a="1"/>
  <c r="K18" i="80" s="1"/>
  <c r="K6" i="80" a="1"/>
  <c r="K6" i="80" s="1"/>
  <c r="K4" i="80" a="1"/>
  <c r="K4" i="80" s="1"/>
  <c r="K29" i="80" a="1"/>
  <c r="K29" i="80" s="1"/>
  <c r="K24" i="80" a="1"/>
  <c r="K24" i="80" s="1"/>
  <c r="K12" i="80" a="1"/>
  <c r="K12" i="80" s="1"/>
  <c r="K21" i="80" a="1"/>
  <c r="K21" i="80" s="1"/>
  <c r="K7" i="80" a="1"/>
  <c r="K7" i="80" s="1"/>
  <c r="K32" i="80" a="1"/>
  <c r="K32" i="80" s="1"/>
  <c r="P43" i="80" a="1"/>
  <c r="P43" i="80" s="1"/>
  <c r="P39" i="80" a="1"/>
  <c r="P39" i="80" s="1"/>
  <c r="P37" i="80" a="1"/>
  <c r="P37" i="80" s="1"/>
  <c r="P28" i="80" a="1"/>
  <c r="P28" i="80" s="1"/>
  <c r="P21" i="80" a="1"/>
  <c r="P21" i="80" s="1"/>
  <c r="P7" i="80" a="1"/>
  <c r="P7" i="80" s="1"/>
  <c r="P42" i="80" a="1"/>
  <c r="P42" i="80" s="1"/>
  <c r="P34" i="80" a="1"/>
  <c r="P34" i="80" s="1"/>
  <c r="P25" i="80" a="1"/>
  <c r="P25" i="80" s="1"/>
  <c r="P20" i="80" a="1"/>
  <c r="P20" i="80" s="1"/>
  <c r="P17" i="80" a="1"/>
  <c r="P17" i="80" s="1"/>
  <c r="P14" i="80" a="1"/>
  <c r="P14" i="80" s="1"/>
  <c r="P10" i="80" a="1"/>
  <c r="P10" i="80" s="1"/>
  <c r="P6" i="80" a="1"/>
  <c r="P6" i="80" s="1"/>
  <c r="P5" i="80" a="1"/>
  <c r="P5" i="80" s="1"/>
  <c r="P41" i="80" a="1"/>
  <c r="P41" i="80" s="1"/>
  <c r="P31" i="80" a="1"/>
  <c r="P31" i="80" s="1"/>
  <c r="P26" i="80" a="1"/>
  <c r="P26" i="80" s="1"/>
  <c r="P23" i="80" a="1"/>
  <c r="P23" i="80" s="1"/>
  <c r="P18" i="80" a="1"/>
  <c r="P18" i="80" s="1"/>
  <c r="P11" i="80" a="1"/>
  <c r="P11" i="80" s="1"/>
  <c r="P4" i="80" a="1"/>
  <c r="P4" i="80" s="1"/>
  <c r="P38" i="80" a="1"/>
  <c r="P38" i="80" s="1"/>
  <c r="P35" i="80" a="1"/>
  <c r="P35" i="80" s="1"/>
  <c r="P32" i="80" a="1"/>
  <c r="P32" i="80" s="1"/>
  <c r="P29" i="80" a="1"/>
  <c r="P29" i="80" s="1"/>
  <c r="P24" i="80" a="1"/>
  <c r="P24" i="80" s="1"/>
  <c r="P15" i="80" a="1"/>
  <c r="P15" i="80" s="1"/>
  <c r="P12" i="80" a="1"/>
  <c r="P12" i="80" s="1"/>
  <c r="P36" i="80" a="1"/>
  <c r="P36" i="80" s="1"/>
  <c r="P19" i="80" a="1"/>
  <c r="P19" i="80" s="1"/>
  <c r="P33" i="80" a="1"/>
  <c r="P33" i="80" s="1"/>
  <c r="P16" i="80" a="1"/>
  <c r="P16" i="80" s="1"/>
  <c r="P9" i="80" a="1"/>
  <c r="P9" i="80" s="1"/>
  <c r="P40" i="80" a="1"/>
  <c r="P40" i="80" s="1"/>
  <c r="P30" i="80" a="1"/>
  <c r="P30" i="80" s="1"/>
  <c r="P13" i="80" a="1"/>
  <c r="P13" i="80" s="1"/>
  <c r="P22" i="80" a="1"/>
  <c r="P22" i="80" s="1"/>
  <c r="P27" i="80" a="1"/>
  <c r="P27" i="80" s="1"/>
  <c r="P8" i="80" a="1"/>
  <c r="P8" i="80" s="1"/>
  <c r="K11" i="63" a="1"/>
  <c r="K11" i="63" s="1"/>
  <c r="K31" i="63" a="1"/>
  <c r="K31" i="63" s="1"/>
  <c r="K28" i="63" a="1"/>
  <c r="K28" i="63" s="1"/>
  <c r="K16" i="63" a="1"/>
  <c r="K16" i="63" s="1"/>
  <c r="K27" i="63" a="1"/>
  <c r="K27" i="63" s="1"/>
  <c r="K21" i="63" a="1"/>
  <c r="K21" i="63" s="1"/>
  <c r="K14" i="63" a="1"/>
  <c r="K14" i="63" s="1"/>
  <c r="B17" i="73"/>
  <c r="B18" i="73"/>
  <c r="B32" i="73"/>
  <c r="B34" i="73"/>
  <c r="B9" i="73"/>
  <c r="A17" i="80" s="1" a="1"/>
  <c r="A17" i="80" s="1"/>
  <c r="B14" i="73"/>
  <c r="A39" i="80" s="1" a="1"/>
  <c r="A39" i="80" s="1"/>
  <c r="B12" i="73"/>
  <c r="A29" i="80" s="1" a="1"/>
  <c r="A29" i="80" s="1"/>
  <c r="F1" i="48"/>
  <c r="A22" i="48"/>
  <c r="B4" i="48"/>
  <c r="D1" i="48"/>
  <c r="A9" i="48"/>
  <c r="G1" i="48"/>
  <c r="D1" i="29"/>
  <c r="H1" i="29"/>
  <c r="G9" i="29"/>
  <c r="B3" i="29"/>
  <c r="B1" i="29"/>
  <c r="F1" i="29"/>
  <c r="B21" i="29"/>
  <c r="E1" i="29"/>
  <c r="E9" i="29" s="1"/>
  <c r="B2" i="29"/>
  <c r="F5" i="59" a="1"/>
  <c r="F5" i="59" s="1"/>
  <c r="F6" i="59" a="1"/>
  <c r="F6" i="59" s="1"/>
  <c r="K23" i="63" a="1"/>
  <c r="K23" i="63" s="1"/>
  <c r="K9" i="63" a="1"/>
  <c r="K9" i="63" s="1"/>
  <c r="K19" i="63" a="1"/>
  <c r="K19" i="63" s="1"/>
  <c r="K30" i="63" a="1"/>
  <c r="K30" i="63" s="1"/>
  <c r="K10" i="63" a="1"/>
  <c r="K10" i="63" s="1"/>
  <c r="K24" i="63" a="1"/>
  <c r="K24" i="63" s="1"/>
  <c r="K22" i="63" a="1"/>
  <c r="K22" i="63" s="1"/>
  <c r="K20" i="63" a="1"/>
  <c r="K20" i="63" s="1"/>
  <c r="K13" i="63" a="1"/>
  <c r="K13" i="63" s="1"/>
  <c r="K29" i="63" a="1"/>
  <c r="K29" i="63" s="1"/>
  <c r="K12" i="63" a="1"/>
  <c r="K12" i="63" s="1"/>
  <c r="K25" i="63" a="1"/>
  <c r="K25" i="63" s="1"/>
  <c r="K5" i="63" a="1"/>
  <c r="K5" i="63" s="1"/>
  <c r="K26" i="63" a="1"/>
  <c r="K26" i="63" s="1"/>
  <c r="K17" i="63" a="1"/>
  <c r="K17" i="63" s="1"/>
  <c r="G8" i="29"/>
  <c r="G17" i="29"/>
  <c r="G14" i="29"/>
  <c r="F4" i="59" a="1"/>
  <c r="F4" i="59" s="1"/>
  <c r="F8" i="59" a="1"/>
  <c r="F8" i="59" s="1"/>
  <c r="F7" i="59" a="1"/>
  <c r="F7" i="59" s="1"/>
  <c r="B15" i="76"/>
  <c r="I15" i="76" s="1"/>
  <c r="B11" i="76"/>
  <c r="B14" i="76"/>
  <c r="B8" i="76"/>
  <c r="B13" i="76"/>
  <c r="I13" i="76" s="1"/>
  <c r="B6" i="76"/>
  <c r="B12" i="76"/>
  <c r="B4" i="76"/>
  <c r="H8" i="29"/>
  <c r="B7" i="58"/>
  <c r="B6" i="58"/>
  <c r="A8" i="59" s="1" a="1"/>
  <c r="A8" i="59" s="1"/>
  <c r="B5" i="58"/>
  <c r="B8" i="58"/>
  <c r="A4" i="59" a="1"/>
  <c r="A4" i="59" s="1"/>
  <c r="E3" i="58"/>
  <c r="F3" i="58"/>
  <c r="C3" i="58"/>
  <c r="B14" i="29"/>
  <c r="B12" i="29"/>
  <c r="B17" i="29"/>
  <c r="B11" i="29"/>
  <c r="B15" i="29"/>
  <c r="B10" i="29"/>
  <c r="B33" i="73"/>
  <c r="B11" i="73"/>
  <c r="A23" i="80" s="1" a="1"/>
  <c r="A23" i="80" s="1"/>
  <c r="B10" i="73"/>
  <c r="A21" i="80" s="1" a="1"/>
  <c r="A21" i="80" s="1"/>
  <c r="B16" i="73"/>
  <c r="B32" i="48"/>
  <c r="B27" i="48"/>
  <c r="B21" i="48"/>
  <c r="B16" i="48"/>
  <c r="B12" i="48"/>
  <c r="A36" i="48"/>
  <c r="B31" i="48"/>
  <c r="B26" i="48"/>
  <c r="B19" i="48"/>
  <c r="B15" i="48"/>
  <c r="B11" i="48"/>
  <c r="B2" i="48"/>
  <c r="B34" i="48"/>
  <c r="A30" i="48"/>
  <c r="B25" i="48"/>
  <c r="B18" i="48"/>
  <c r="B14" i="48"/>
  <c r="B10" i="48"/>
  <c r="B33" i="48"/>
  <c r="B28" i="48"/>
  <c r="B23" i="48"/>
  <c r="B13" i="48"/>
  <c r="B8" i="48"/>
  <c r="B33" i="72"/>
  <c r="B29" i="72"/>
  <c r="B23" i="72"/>
  <c r="B16" i="72"/>
  <c r="B12" i="72"/>
  <c r="B7" i="72"/>
  <c r="A9" i="62" s="1" a="1"/>
  <c r="A9" i="62" s="1"/>
  <c r="B41" i="73"/>
  <c r="B30" i="73"/>
  <c r="B25" i="73"/>
  <c r="B21" i="73"/>
  <c r="B7" i="73"/>
  <c r="A7" i="80" s="1" a="1"/>
  <c r="A7" i="80" s="1"/>
  <c r="B32" i="72"/>
  <c r="B28" i="72"/>
  <c r="B22" i="72"/>
  <c r="B15" i="72"/>
  <c r="B11" i="72"/>
  <c r="B39" i="73"/>
  <c r="B29" i="73"/>
  <c r="B24" i="73"/>
  <c r="B20" i="73"/>
  <c r="B6" i="73"/>
  <c r="A6" i="80" s="1" a="1"/>
  <c r="A6" i="80" s="1"/>
  <c r="B31" i="72"/>
  <c r="B27" i="72"/>
  <c r="B21" i="72"/>
  <c r="B14" i="72"/>
  <c r="B10" i="72"/>
  <c r="B37" i="73"/>
  <c r="B28" i="73"/>
  <c r="B23" i="73"/>
  <c r="B19" i="73"/>
  <c r="B13" i="73"/>
  <c r="A36" i="80" s="1" a="1"/>
  <c r="A36" i="80" s="1"/>
  <c r="B30" i="72"/>
  <c r="B26" i="72"/>
  <c r="B18" i="72"/>
  <c r="B13" i="72"/>
  <c r="A13" i="62" a="1"/>
  <c r="A13" i="62" s="1"/>
  <c r="B35" i="73"/>
  <c r="B26" i="73"/>
  <c r="B22" i="73"/>
  <c r="B8" i="73"/>
  <c r="A13" i="80" s="1" a="1"/>
  <c r="A13" i="80" s="1"/>
  <c r="A4" i="72"/>
  <c r="E11" i="29" l="1"/>
  <c r="A8" i="63" a="1"/>
  <c r="A8" i="63" s="1"/>
  <c r="Q21" i="62"/>
  <c r="A5" i="62" a="1"/>
  <c r="A5" i="62" s="1"/>
  <c r="B5" i="62" s="1"/>
  <c r="A15" i="62" a="1"/>
  <c r="A15" i="62" s="1"/>
  <c r="B15" i="62" s="1"/>
  <c r="A6" i="62" a="1"/>
  <c r="A6" i="62" s="1"/>
  <c r="A5" i="59" a="1"/>
  <c r="A5" i="59" s="1"/>
  <c r="B5" i="59" s="1"/>
  <c r="A15" i="63" a="1"/>
  <c r="A15" i="63" s="1"/>
  <c r="B15" i="63" s="1"/>
  <c r="A5" i="63" a="1"/>
  <c r="A5" i="63" s="1"/>
  <c r="B5" i="63" s="1"/>
  <c r="A33" i="63" a="1"/>
  <c r="A33" i="63" s="1"/>
  <c r="B33" i="63" s="1"/>
  <c r="A21" i="63" a="1"/>
  <c r="A21" i="63" s="1"/>
  <c r="B21" i="63" s="1"/>
  <c r="A18" i="63" a="1"/>
  <c r="A18" i="63" s="1"/>
  <c r="B18" i="63" s="1"/>
  <c r="A28" i="63" a="1"/>
  <c r="A28" i="63" s="1"/>
  <c r="B28" i="63" s="1"/>
  <c r="A25" i="63" a="1"/>
  <c r="A25" i="63" s="1"/>
  <c r="B25" i="63" s="1"/>
  <c r="A10" i="63" a="1"/>
  <c r="A10" i="63" s="1"/>
  <c r="B10" i="63" s="1"/>
  <c r="A19" i="63" a="1"/>
  <c r="A19" i="63" s="1"/>
  <c r="B19" i="63" s="1"/>
  <c r="A32" i="63" a="1"/>
  <c r="A32" i="63" s="1"/>
  <c r="B32" i="63" s="1"/>
  <c r="A16" i="63" a="1"/>
  <c r="A16" i="63" s="1"/>
  <c r="B16" i="63" s="1"/>
  <c r="A23" i="63" a="1"/>
  <c r="A23" i="63" s="1"/>
  <c r="B23" i="63" s="1"/>
  <c r="A6" i="63" a="1"/>
  <c r="A6" i="63" s="1"/>
  <c r="B6" i="63" s="1"/>
  <c r="A7" i="63" a="1"/>
  <c r="A7" i="63" s="1"/>
  <c r="B7" i="63" s="1"/>
  <c r="A17" i="63" a="1"/>
  <c r="A17" i="63" s="1"/>
  <c r="B17" i="63" s="1"/>
  <c r="A31" i="63" a="1"/>
  <c r="A31" i="63" s="1"/>
  <c r="B31" i="63" s="1"/>
  <c r="A30" i="63" a="1"/>
  <c r="A30" i="63" s="1"/>
  <c r="B30" i="63" s="1"/>
  <c r="A14" i="63" a="1"/>
  <c r="A14" i="63" s="1"/>
  <c r="B14" i="63" s="1"/>
  <c r="A29" i="63" a="1"/>
  <c r="A29" i="63" s="1"/>
  <c r="A13" i="63" a="1"/>
  <c r="A13" i="63" s="1"/>
  <c r="B13" i="63" s="1"/>
  <c r="A4" i="63" a="1"/>
  <c r="A4" i="63" s="1"/>
  <c r="B4" i="63" s="1"/>
  <c r="A22" i="63" a="1"/>
  <c r="A22" i="63" s="1"/>
  <c r="B22" i="63" s="1"/>
  <c r="A20" i="63" a="1"/>
  <c r="A20" i="63" s="1"/>
  <c r="A9" i="63" a="1"/>
  <c r="A9" i="63" s="1"/>
  <c r="B9" i="63" s="1"/>
  <c r="A12" i="63" a="1"/>
  <c r="A12" i="63" s="1"/>
  <c r="B12" i="63" s="1"/>
  <c r="A26" i="63" a="1"/>
  <c r="A26" i="63" s="1"/>
  <c r="B26" i="63" s="1"/>
  <c r="A27" i="63" a="1"/>
  <c r="A27" i="63" s="1"/>
  <c r="B27" i="63" s="1"/>
  <c r="A11" i="63" a="1"/>
  <c r="A11" i="63" s="1"/>
  <c r="B11" i="63" s="1"/>
  <c r="A24" i="63" a="1"/>
  <c r="A24" i="63" s="1"/>
  <c r="B24" i="63" s="1"/>
  <c r="L4" i="80"/>
  <c r="L16" i="62"/>
  <c r="AA7" i="62"/>
  <c r="AA18" i="62"/>
  <c r="B6" i="62"/>
  <c r="B13" i="62"/>
  <c r="G12" i="62"/>
  <c r="V20" i="62"/>
  <c r="AA8" i="62"/>
  <c r="AA21" i="62"/>
  <c r="AA11" i="62"/>
  <c r="AA10" i="62"/>
  <c r="B9" i="62"/>
  <c r="L6" i="62"/>
  <c r="L8" i="62"/>
  <c r="G18" i="62"/>
  <c r="V7" i="62"/>
  <c r="L9" i="62"/>
  <c r="G8" i="62"/>
  <c r="Q19" i="62"/>
  <c r="G19" i="62"/>
  <c r="G14" i="62"/>
  <c r="V8" i="62"/>
  <c r="A33" i="80" a="1"/>
  <c r="A33" i="80" s="1"/>
  <c r="B33" i="80" s="1"/>
  <c r="A30" i="80" a="1"/>
  <c r="A30" i="80" s="1"/>
  <c r="B30" i="80" s="1"/>
  <c r="A27" i="80" a="1"/>
  <c r="A27" i="80" s="1"/>
  <c r="B27" i="80" s="1"/>
  <c r="A35" i="80" a="1"/>
  <c r="A35" i="80" s="1"/>
  <c r="A25" i="80" a="1"/>
  <c r="A25" i="80" s="1"/>
  <c r="B25" i="80" s="1"/>
  <c r="A40" i="80" a="1"/>
  <c r="A40" i="80" s="1"/>
  <c r="B40" i="80" s="1"/>
  <c r="A24" i="80" a="1"/>
  <c r="A24" i="80" s="1"/>
  <c r="B24" i="80" s="1"/>
  <c r="A8" i="80" a="1"/>
  <c r="A8" i="80" s="1"/>
  <c r="A34" i="80" a="1"/>
  <c r="A34" i="80" s="1"/>
  <c r="B34" i="80" s="1"/>
  <c r="A18" i="80" a="1"/>
  <c r="A18" i="80" s="1"/>
  <c r="B18" i="80" s="1"/>
  <c r="Q6" i="62"/>
  <c r="Q14" i="62"/>
  <c r="Q15" i="62"/>
  <c r="AA14" i="62"/>
  <c r="L12" i="62"/>
  <c r="Q12" i="62"/>
  <c r="L21" i="62"/>
  <c r="G17" i="62"/>
  <c r="B18" i="62"/>
  <c r="AA6" i="62"/>
  <c r="AA5" i="62"/>
  <c r="AA9" i="62"/>
  <c r="Q32" i="80"/>
  <c r="B20" i="62"/>
  <c r="Q16" i="62"/>
  <c r="Q9" i="62"/>
  <c r="L7" i="62"/>
  <c r="L19" i="62"/>
  <c r="L10" i="62"/>
  <c r="L18" i="62"/>
  <c r="AA17" i="62"/>
  <c r="AA15" i="62"/>
  <c r="AA12" i="62"/>
  <c r="AA20" i="62"/>
  <c r="G7" i="62"/>
  <c r="G6" i="62"/>
  <c r="G21" i="62"/>
  <c r="G16" i="62"/>
  <c r="V18" i="62"/>
  <c r="V12" i="62"/>
  <c r="V9" i="62"/>
  <c r="V13" i="62"/>
  <c r="V21" i="62"/>
  <c r="A12" i="62" a="1"/>
  <c r="A12" i="62" s="1"/>
  <c r="B12" i="62" s="1"/>
  <c r="A8" i="62" a="1"/>
  <c r="A8" i="62" s="1"/>
  <c r="B8" i="62" s="1"/>
  <c r="A7" i="62" a="1"/>
  <c r="A7" i="62" s="1"/>
  <c r="B7" i="62" s="1"/>
  <c r="A17" i="62" a="1"/>
  <c r="A17" i="62" s="1"/>
  <c r="B17" i="62" s="1"/>
  <c r="A28" i="80" a="1"/>
  <c r="A28" i="80" s="1"/>
  <c r="A19" i="80" a="1"/>
  <c r="A19" i="80" s="1"/>
  <c r="B19" i="80" s="1"/>
  <c r="A22" i="80" a="1"/>
  <c r="A22" i="80" s="1"/>
  <c r="B22" i="80" s="1"/>
  <c r="A14" i="80" a="1"/>
  <c r="A14" i="80" s="1"/>
  <c r="B14" i="80" s="1"/>
  <c r="A20" i="80" a="1"/>
  <c r="A20" i="80" s="1"/>
  <c r="A37" i="80" a="1"/>
  <c r="A37" i="80" s="1"/>
  <c r="B37" i="80" s="1"/>
  <c r="A5" i="80" a="1"/>
  <c r="A5" i="80" s="1"/>
  <c r="B5" i="80" s="1"/>
  <c r="A31" i="80" a="1"/>
  <c r="A31" i="80" s="1"/>
  <c r="B31" i="80" s="1"/>
  <c r="A15" i="80" a="1"/>
  <c r="A15" i="80" s="1"/>
  <c r="Q8" i="62"/>
  <c r="Q7" i="62"/>
  <c r="Q18" i="62"/>
  <c r="Q17" i="62"/>
  <c r="AA13" i="62"/>
  <c r="L15" i="62"/>
  <c r="B21" i="62"/>
  <c r="G10" i="62"/>
  <c r="V16" i="62"/>
  <c r="Q10" i="62"/>
  <c r="G9" i="62"/>
  <c r="V10" i="62"/>
  <c r="V11" i="62"/>
  <c r="V19" i="62"/>
  <c r="L13" i="62"/>
  <c r="L14" i="62"/>
  <c r="L20" i="62"/>
  <c r="B19" i="62"/>
  <c r="G13" i="62"/>
  <c r="G20" i="62"/>
  <c r="V15" i="62"/>
  <c r="V14" i="62"/>
  <c r="Q20" i="62"/>
  <c r="Q13" i="62"/>
  <c r="G15" i="62"/>
  <c r="A4" i="62" a="1"/>
  <c r="A4" i="62" s="1"/>
  <c r="B4" i="62" s="1"/>
  <c r="A16" i="62" a="1"/>
  <c r="A16" i="62" s="1"/>
  <c r="B16" i="62" s="1"/>
  <c r="A10" i="62" a="1"/>
  <c r="A10" i="62" s="1"/>
  <c r="B10" i="62" s="1"/>
  <c r="A11" i="62" a="1"/>
  <c r="A11" i="62" s="1"/>
  <c r="B11" i="62" s="1"/>
  <c r="A4" i="80" a="1"/>
  <c r="A4" i="80" s="1"/>
  <c r="B4" i="80" s="1"/>
  <c r="A11" i="80" a="1"/>
  <c r="A11" i="80" s="1"/>
  <c r="B11" i="80" s="1"/>
  <c r="A41" i="80" a="1"/>
  <c r="A41" i="80" s="1"/>
  <c r="A9" i="80" a="1"/>
  <c r="A9" i="80" s="1"/>
  <c r="B9" i="80" s="1"/>
  <c r="A32" i="80" a="1"/>
  <c r="A32" i="80" s="1"/>
  <c r="B32" i="80" s="1"/>
  <c r="A16" i="80" a="1"/>
  <c r="A16" i="80" s="1"/>
  <c r="B16" i="80" s="1"/>
  <c r="A42" i="80" a="1"/>
  <c r="A42" i="80" s="1"/>
  <c r="B42" i="80" s="1"/>
  <c r="A26" i="80" a="1"/>
  <c r="A26" i="80" s="1"/>
  <c r="B26" i="80" s="1"/>
  <c r="A10" i="80" a="1"/>
  <c r="A10" i="80" s="1"/>
  <c r="B10" i="80" s="1"/>
  <c r="Q34" i="80"/>
  <c r="AA19" i="62"/>
  <c r="AA16" i="62"/>
  <c r="Q24" i="80"/>
  <c r="L17" i="62"/>
  <c r="L11" i="62"/>
  <c r="G11" i="62"/>
  <c r="V6" i="62"/>
  <c r="V17" i="62"/>
  <c r="Q11" i="62"/>
  <c r="A14" i="62" a="1"/>
  <c r="A14" i="62" s="1"/>
  <c r="B14" i="62" s="1"/>
  <c r="A12" i="80" a="1"/>
  <c r="A12" i="80" s="1"/>
  <c r="B12" i="80" s="1"/>
  <c r="A38" i="80" a="1"/>
  <c r="A38" i="80" s="1"/>
  <c r="B38" i="80" s="1"/>
  <c r="A6" i="59" a="1"/>
  <c r="A6" i="59" s="1"/>
  <c r="B6" i="59" s="1"/>
  <c r="A7" i="59" a="1"/>
  <c r="A7" i="59" s="1"/>
  <c r="B7" i="59" s="1"/>
  <c r="G21" i="63"/>
  <c r="G9" i="63"/>
  <c r="L39" i="80"/>
  <c r="L27" i="80"/>
  <c r="E14" i="29"/>
  <c r="F12" i="29"/>
  <c r="F11" i="29"/>
  <c r="F14" i="29"/>
  <c r="F8" i="29"/>
  <c r="F9" i="29"/>
  <c r="H14" i="29"/>
  <c r="H11" i="29"/>
  <c r="H12" i="29"/>
  <c r="H17" i="29"/>
  <c r="H9" i="29"/>
  <c r="E17" i="29"/>
  <c r="E12" i="29"/>
  <c r="V17" i="10"/>
  <c r="B17" i="10"/>
  <c r="Q17" i="10"/>
  <c r="G17" i="10"/>
  <c r="L17" i="10"/>
  <c r="D8" i="29"/>
  <c r="D14" i="29"/>
  <c r="D12" i="29"/>
  <c r="G6" i="59"/>
  <c r="V16" i="61"/>
  <c r="V35" i="61"/>
  <c r="G12" i="61"/>
  <c r="Q10" i="61"/>
  <c r="Q49" i="61"/>
  <c r="G16" i="61"/>
  <c r="G41" i="61"/>
  <c r="G14" i="61"/>
  <c r="Q45" i="61"/>
  <c r="G25" i="61"/>
  <c r="Q6" i="61"/>
  <c r="Q21" i="61"/>
  <c r="Q22" i="61"/>
  <c r="Q16" i="61"/>
  <c r="G42" i="61"/>
  <c r="Q14" i="61"/>
  <c r="G40" i="61"/>
  <c r="Q23" i="61"/>
  <c r="G31" i="61"/>
  <c r="Q44" i="61"/>
  <c r="V4" i="61"/>
  <c r="G33" i="61"/>
  <c r="Q12" i="61"/>
  <c r="Q24" i="61"/>
  <c r="G27" i="61"/>
  <c r="G47" i="61"/>
  <c r="G46" i="61"/>
  <c r="L11" i="61"/>
  <c r="G36" i="61"/>
  <c r="B31" i="61"/>
  <c r="L21" i="61"/>
  <c r="B20" i="61"/>
  <c r="B19" i="61"/>
  <c r="G26" i="61"/>
  <c r="Q25" i="61"/>
  <c r="G21" i="61"/>
  <c r="L40" i="61"/>
  <c r="Q20" i="61"/>
  <c r="B24" i="61"/>
  <c r="L48" i="61"/>
  <c r="B23" i="61"/>
  <c r="Q36" i="61"/>
  <c r="Q35" i="61"/>
  <c r="B41" i="61"/>
  <c r="B37" i="61"/>
  <c r="AA33" i="61"/>
  <c r="L12" i="61"/>
  <c r="V28" i="61"/>
  <c r="V12" i="61"/>
  <c r="AA5" i="61"/>
  <c r="G15" i="61"/>
  <c r="Q9" i="61"/>
  <c r="G45" i="61"/>
  <c r="AA44" i="61"/>
  <c r="G37" i="61"/>
  <c r="G49" i="61"/>
  <c r="G44" i="61"/>
  <c r="B25" i="61"/>
  <c r="L33" i="61"/>
  <c r="Q31" i="61"/>
  <c r="Q27" i="61"/>
  <c r="Q4" i="61"/>
  <c r="B21" i="61"/>
  <c r="Q48" i="61"/>
  <c r="B32" i="61"/>
  <c r="Q8" i="61"/>
  <c r="Q43" i="61"/>
  <c r="Q11" i="61"/>
  <c r="G48" i="61"/>
  <c r="B46" i="61"/>
  <c r="G8" i="61"/>
  <c r="B15" i="61"/>
  <c r="B38" i="61"/>
  <c r="G4" i="61"/>
  <c r="G7" i="61"/>
  <c r="G10" i="61"/>
  <c r="B35" i="61"/>
  <c r="Q41" i="61"/>
  <c r="L26" i="61"/>
  <c r="AA34" i="61"/>
  <c r="AA38" i="61"/>
  <c r="AA12" i="61"/>
  <c r="G39" i="61"/>
  <c r="Q42" i="61"/>
  <c r="G13" i="61"/>
  <c r="V32" i="61"/>
  <c r="G29" i="61"/>
  <c r="V31" i="61"/>
  <c r="V7" i="61"/>
  <c r="AA39" i="61"/>
  <c r="Q30" i="61"/>
  <c r="G24" i="61"/>
  <c r="Q15" i="61"/>
  <c r="Q46" i="61"/>
  <c r="B22" i="61"/>
  <c r="Q5" i="61"/>
  <c r="L31" i="61"/>
  <c r="Q37" i="61"/>
  <c r="G22" i="61"/>
  <c r="G35" i="61"/>
  <c r="B4" i="61"/>
  <c r="G9" i="61"/>
  <c r="Q13" i="61"/>
  <c r="L45" i="61"/>
  <c r="Q32" i="61"/>
  <c r="Q28" i="61"/>
  <c r="Q38" i="61"/>
  <c r="L16" i="61"/>
  <c r="B49" i="61"/>
  <c r="Q17" i="61"/>
  <c r="Q34" i="61"/>
  <c r="G18" i="61"/>
  <c r="B39" i="61"/>
  <c r="AA46" i="61"/>
  <c r="L39" i="61"/>
  <c r="Q18" i="61"/>
  <c r="AA26" i="61"/>
  <c r="B6" i="61"/>
  <c r="L34" i="61"/>
  <c r="AA47" i="61"/>
  <c r="V41" i="61"/>
  <c r="V39" i="61"/>
  <c r="AA16" i="61"/>
  <c r="G6" i="61"/>
  <c r="Q7" i="61"/>
  <c r="Q29" i="61"/>
  <c r="Q19" i="61"/>
  <c r="G32" i="61"/>
  <c r="B30" i="61"/>
  <c r="G38" i="61"/>
  <c r="Q41" i="80"/>
  <c r="Q33" i="80"/>
  <c r="Q38" i="80"/>
  <c r="Q42" i="80"/>
  <c r="Q10" i="80"/>
  <c r="L5" i="62"/>
  <c r="AA4" i="62"/>
  <c r="Q5" i="62"/>
  <c r="L4" i="62"/>
  <c r="Q4" i="62"/>
  <c r="Q39" i="80"/>
  <c r="Q4" i="80"/>
  <c r="L17" i="80"/>
  <c r="L13" i="80"/>
  <c r="L43" i="80"/>
  <c r="V19" i="63"/>
  <c r="V16" i="63"/>
  <c r="L33" i="63"/>
  <c r="L12" i="63"/>
  <c r="V6" i="63"/>
  <c r="G29" i="63"/>
  <c r="Q30" i="63"/>
  <c r="V31" i="63"/>
  <c r="L29" i="63"/>
  <c r="V25" i="63"/>
  <c r="L10" i="63"/>
  <c r="G11" i="63"/>
  <c r="V9" i="63"/>
  <c r="G7" i="63"/>
  <c r="V12" i="63"/>
  <c r="V5" i="63"/>
  <c r="G20" i="63"/>
  <c r="Q32" i="63"/>
  <c r="L31" i="63"/>
  <c r="Q25" i="63"/>
  <c r="V15" i="63"/>
  <c r="V30" i="63"/>
  <c r="G28" i="63"/>
  <c r="G8" i="63"/>
  <c r="G16" i="63"/>
  <c r="V14" i="63"/>
  <c r="G32" i="63"/>
  <c r="L25" i="63"/>
  <c r="V17" i="63"/>
  <c r="V18" i="63"/>
  <c r="L22" i="63"/>
  <c r="L16" i="63"/>
  <c r="G31" i="63"/>
  <c r="L30" i="63"/>
  <c r="L17" i="63"/>
  <c r="Q20" i="63"/>
  <c r="G14" i="63"/>
  <c r="L11" i="63"/>
  <c r="G15" i="63"/>
  <c r="L14" i="63"/>
  <c r="AA14" i="63"/>
  <c r="L7" i="63"/>
  <c r="Q9" i="63"/>
  <c r="L24" i="63"/>
  <c r="V4" i="63"/>
  <c r="V20" i="63"/>
  <c r="AA7" i="63"/>
  <c r="Q14" i="63"/>
  <c r="G10" i="63"/>
  <c r="V29" i="63"/>
  <c r="L20" i="63"/>
  <c r="G12" i="63"/>
  <c r="G26" i="63"/>
  <c r="L18" i="63"/>
  <c r="V22" i="63"/>
  <c r="L21" i="63"/>
  <c r="V32" i="63"/>
  <c r="AA19" i="63"/>
  <c r="Q16" i="63"/>
  <c r="V26" i="63"/>
  <c r="L26" i="63"/>
  <c r="G13" i="63"/>
  <c r="V7" i="63"/>
  <c r="V21" i="63"/>
  <c r="L19" i="63"/>
  <c r="Q4" i="63"/>
  <c r="L4" i="63"/>
  <c r="G22" i="63"/>
  <c r="V24" i="63"/>
  <c r="AA31" i="63"/>
  <c r="G17" i="63"/>
  <c r="L28" i="63"/>
  <c r="V33" i="63"/>
  <c r="L23" i="63"/>
  <c r="G6" i="63"/>
  <c r="V8" i="63"/>
  <c r="G19" i="63"/>
  <c r="Q8" i="63"/>
  <c r="L32" i="63"/>
  <c r="Q26" i="63"/>
  <c r="G23" i="63"/>
  <c r="V27" i="63"/>
  <c r="AA30" i="63"/>
  <c r="G24" i="63"/>
  <c r="V28" i="63"/>
  <c r="G30" i="63"/>
  <c r="AA22" i="61"/>
  <c r="AA49" i="61"/>
  <c r="AA32" i="61"/>
  <c r="AA17" i="61"/>
  <c r="AA36" i="61"/>
  <c r="AA18" i="61"/>
  <c r="G4" i="59"/>
  <c r="AA43" i="61"/>
  <c r="V13" i="63"/>
  <c r="Q15" i="63"/>
  <c r="G5" i="62"/>
  <c r="G27" i="63"/>
  <c r="B29" i="63"/>
  <c r="Q24" i="63"/>
  <c r="Q27" i="63"/>
  <c r="Q29" i="63"/>
  <c r="V27" i="61"/>
  <c r="V36" i="61"/>
  <c r="V26" i="61"/>
  <c r="V38" i="61"/>
  <c r="V9" i="61"/>
  <c r="V18" i="61"/>
  <c r="AA11" i="61"/>
  <c r="AA5" i="63"/>
  <c r="AA10" i="63"/>
  <c r="L19" i="80"/>
  <c r="V25" i="61"/>
  <c r="G18" i="63"/>
  <c r="AA14" i="80"/>
  <c r="AA28" i="80"/>
  <c r="AA29" i="80"/>
  <c r="AA36" i="80"/>
  <c r="AA42" i="80"/>
  <c r="AA10" i="80"/>
  <c r="AA38" i="80"/>
  <c r="AA6" i="80"/>
  <c r="AA15" i="80"/>
  <c r="G25" i="80"/>
  <c r="G33" i="80"/>
  <c r="G22" i="80"/>
  <c r="G12" i="80"/>
  <c r="G19" i="80"/>
  <c r="G42" i="80"/>
  <c r="G26" i="80"/>
  <c r="G18" i="80"/>
  <c r="G6" i="80"/>
  <c r="G16" i="80"/>
  <c r="L16" i="80"/>
  <c r="AA16" i="63"/>
  <c r="AA28" i="63"/>
  <c r="AA24" i="63"/>
  <c r="AA27" i="63"/>
  <c r="B18" i="61"/>
  <c r="B9" i="61"/>
  <c r="B8" i="61"/>
  <c r="B34" i="61"/>
  <c r="B36" i="61"/>
  <c r="B29" i="61"/>
  <c r="Q5" i="59"/>
  <c r="Q11" i="63"/>
  <c r="G4" i="63"/>
  <c r="Q26" i="61"/>
  <c r="V8" i="80"/>
  <c r="L28" i="61"/>
  <c r="L17" i="61"/>
  <c r="L7" i="61"/>
  <c r="V19" i="61"/>
  <c r="V49" i="61"/>
  <c r="V15" i="10"/>
  <c r="V10" i="10"/>
  <c r="V14" i="10"/>
  <c r="AA4" i="61"/>
  <c r="B45" i="61"/>
  <c r="G33" i="63"/>
  <c r="Q6" i="59"/>
  <c r="G11" i="61"/>
  <c r="V5" i="62"/>
  <c r="L38" i="61"/>
  <c r="G5" i="63"/>
  <c r="L35" i="80"/>
  <c r="AA37" i="61"/>
  <c r="AA7" i="61"/>
  <c r="V24" i="61"/>
  <c r="L5" i="63"/>
  <c r="Q28" i="63"/>
  <c r="Q18" i="63"/>
  <c r="Q17" i="63"/>
  <c r="Q23" i="63"/>
  <c r="V30" i="61"/>
  <c r="V6" i="61"/>
  <c r="V21" i="61"/>
  <c r="V33" i="61"/>
  <c r="V45" i="61"/>
  <c r="V13" i="61"/>
  <c r="AA21" i="63"/>
  <c r="AA29" i="63"/>
  <c r="L15" i="63"/>
  <c r="Q7" i="63"/>
  <c r="AA12" i="80"/>
  <c r="AA39" i="80"/>
  <c r="AA9" i="80"/>
  <c r="AA18" i="80"/>
  <c r="AA27" i="80"/>
  <c r="AA37" i="80"/>
  <c r="AA5" i="80"/>
  <c r="AA33" i="80"/>
  <c r="AA40" i="80"/>
  <c r="AA8" i="80"/>
  <c r="G31" i="80"/>
  <c r="G20" i="80"/>
  <c r="G13" i="80"/>
  <c r="G40" i="80"/>
  <c r="G10" i="80"/>
  <c r="G7" i="80"/>
  <c r="G43" i="80"/>
  <c r="G11" i="80"/>
  <c r="G37" i="80"/>
  <c r="G5" i="80"/>
  <c r="L32" i="80"/>
  <c r="AA26" i="63"/>
  <c r="AA22" i="63"/>
  <c r="AA18" i="63"/>
  <c r="AA17" i="63"/>
  <c r="B43" i="61"/>
  <c r="B26" i="61"/>
  <c r="B10" i="61"/>
  <c r="B48" i="61"/>
  <c r="B7" i="61"/>
  <c r="B8" i="59"/>
  <c r="AA41" i="61"/>
  <c r="Q47" i="61"/>
  <c r="L44" i="61"/>
  <c r="L13" i="61"/>
  <c r="L10" i="61"/>
  <c r="L4" i="61"/>
  <c r="L6" i="61"/>
  <c r="L23" i="61"/>
  <c r="L47" i="61"/>
  <c r="L4" i="59"/>
  <c r="Q21" i="63"/>
  <c r="AA29" i="61"/>
  <c r="B28" i="61"/>
  <c r="Q7" i="59"/>
  <c r="Q33" i="61"/>
  <c r="V38" i="80"/>
  <c r="V31" i="80"/>
  <c r="V14" i="80"/>
  <c r="V27" i="80"/>
  <c r="V26" i="80"/>
  <c r="V28" i="80"/>
  <c r="V32" i="80"/>
  <c r="V41" i="80"/>
  <c r="V6" i="80"/>
  <c r="B41" i="80"/>
  <c r="B7" i="80"/>
  <c r="B8" i="80"/>
  <c r="B15" i="80"/>
  <c r="B23" i="80"/>
  <c r="B36" i="80"/>
  <c r="V48" i="61"/>
  <c r="Q40" i="61"/>
  <c r="G28" i="61"/>
  <c r="Q39" i="61"/>
  <c r="L5" i="61"/>
  <c r="L28" i="80"/>
  <c r="B20" i="63"/>
  <c r="AA30" i="61"/>
  <c r="L13" i="63"/>
  <c r="B47" i="61"/>
  <c r="Q18" i="80"/>
  <c r="Q20" i="80"/>
  <c r="Q26" i="80"/>
  <c r="Q15" i="80"/>
  <c r="L14" i="80"/>
  <c r="L18" i="80"/>
  <c r="L10" i="80"/>
  <c r="V7" i="10"/>
  <c r="Q12" i="10"/>
  <c r="V9" i="10"/>
  <c r="Q7" i="10"/>
  <c r="Q4" i="10"/>
  <c r="L4" i="10"/>
  <c r="Q5" i="10"/>
  <c r="L5" i="10"/>
  <c r="Q11" i="10"/>
  <c r="Q13" i="10"/>
  <c r="Q9" i="10"/>
  <c r="Q8" i="10"/>
  <c r="Q6" i="10"/>
  <c r="Q15" i="10"/>
  <c r="V11" i="10"/>
  <c r="L9" i="10"/>
  <c r="Q16" i="10"/>
  <c r="V16" i="10"/>
  <c r="Q14" i="10"/>
  <c r="L15" i="10"/>
  <c r="Q40" i="80"/>
  <c r="L29" i="80"/>
  <c r="AA4" i="80"/>
  <c r="AA31" i="61"/>
  <c r="AA19" i="61"/>
  <c r="AA20" i="61"/>
  <c r="AA21" i="61"/>
  <c r="AA9" i="61"/>
  <c r="G7" i="59"/>
  <c r="L9" i="63"/>
  <c r="V44" i="61"/>
  <c r="G4" i="62"/>
  <c r="L6" i="63"/>
  <c r="Q22" i="63"/>
  <c r="Q10" i="63"/>
  <c r="Q12" i="63"/>
  <c r="Q13" i="63"/>
  <c r="V46" i="61"/>
  <c r="V42" i="61"/>
  <c r="V10" i="61"/>
  <c r="V22" i="61"/>
  <c r="V34" i="61"/>
  <c r="AA48" i="61"/>
  <c r="AA9" i="63"/>
  <c r="AA19" i="80"/>
  <c r="AA41" i="80"/>
  <c r="AA25" i="80"/>
  <c r="AA13" i="80"/>
  <c r="AA20" i="80"/>
  <c r="AA26" i="80"/>
  <c r="AA16" i="80"/>
  <c r="AA22" i="80"/>
  <c r="AA31" i="80"/>
  <c r="G4" i="80"/>
  <c r="G41" i="80"/>
  <c r="G38" i="80"/>
  <c r="G8" i="80"/>
  <c r="G35" i="80"/>
  <c r="G9" i="80"/>
  <c r="G34" i="80"/>
  <c r="G32" i="80"/>
  <c r="G23" i="80"/>
  <c r="G30" i="80"/>
  <c r="AA23" i="80"/>
  <c r="L33" i="80"/>
  <c r="AA23" i="63"/>
  <c r="AA12" i="63"/>
  <c r="AA8" i="63"/>
  <c r="AA11" i="63"/>
  <c r="V29" i="80"/>
  <c r="B11" i="61"/>
  <c r="B44" i="61"/>
  <c r="B17" i="61"/>
  <c r="B42" i="61"/>
  <c r="B16" i="61"/>
  <c r="AA15" i="63"/>
  <c r="V40" i="61"/>
  <c r="G20" i="61"/>
  <c r="B5" i="61"/>
  <c r="L20" i="61"/>
  <c r="L32" i="61"/>
  <c r="L29" i="61"/>
  <c r="L19" i="61"/>
  <c r="L42" i="61"/>
  <c r="L14" i="61"/>
  <c r="L46" i="61"/>
  <c r="L7" i="59"/>
  <c r="L27" i="63"/>
  <c r="G17" i="61"/>
  <c r="L8" i="63"/>
  <c r="V23" i="61"/>
  <c r="V11" i="63"/>
  <c r="V20" i="61"/>
  <c r="L43" i="61"/>
  <c r="G43" i="61"/>
  <c r="L15" i="61"/>
  <c r="L15" i="80"/>
  <c r="Q13" i="80"/>
  <c r="L21" i="80"/>
  <c r="AA40" i="61"/>
  <c r="AA13" i="61"/>
  <c r="AA28" i="61"/>
  <c r="AA27" i="61"/>
  <c r="Q31" i="63"/>
  <c r="V4" i="62"/>
  <c r="Q43" i="80"/>
  <c r="Q8" i="80"/>
  <c r="Q14" i="80"/>
  <c r="Q16" i="80"/>
  <c r="Q37" i="80"/>
  <c r="Q27" i="80"/>
  <c r="Q9" i="80"/>
  <c r="Q22" i="80"/>
  <c r="Q30" i="80"/>
  <c r="L36" i="80"/>
  <c r="L41" i="80"/>
  <c r="Q23" i="80"/>
  <c r="Q21" i="80"/>
  <c r="Q6" i="80"/>
  <c r="Q35" i="80"/>
  <c r="Q19" i="80"/>
  <c r="Q25" i="80"/>
  <c r="Q17" i="80"/>
  <c r="Q36" i="80"/>
  <c r="L37" i="80"/>
  <c r="L25" i="80"/>
  <c r="Q7" i="80"/>
  <c r="Q5" i="80"/>
  <c r="Q31" i="80"/>
  <c r="L20" i="80"/>
  <c r="L31" i="80"/>
  <c r="Q11" i="80"/>
  <c r="L12" i="80"/>
  <c r="Q29" i="80"/>
  <c r="Q28" i="80"/>
  <c r="L40" i="80"/>
  <c r="L42" i="80"/>
  <c r="L24" i="80"/>
  <c r="L34" i="80"/>
  <c r="L8" i="80"/>
  <c r="L22" i="80"/>
  <c r="L38" i="80"/>
  <c r="L11" i="80"/>
  <c r="AA32" i="80"/>
  <c r="Q12" i="80"/>
  <c r="L7" i="80"/>
  <c r="L6" i="80"/>
  <c r="L26" i="80"/>
  <c r="G5" i="59"/>
  <c r="B4" i="59"/>
  <c r="Q4" i="59"/>
  <c r="Q8" i="59"/>
  <c r="L9" i="80"/>
  <c r="L30" i="80"/>
  <c r="AA35" i="61"/>
  <c r="AA10" i="61"/>
  <c r="AA45" i="61"/>
  <c r="AA6" i="61"/>
  <c r="AA8" i="61"/>
  <c r="AA42" i="61"/>
  <c r="G8" i="59"/>
  <c r="AA23" i="61"/>
  <c r="V10" i="63"/>
  <c r="V43" i="61"/>
  <c r="V15" i="61"/>
  <c r="Q19" i="63"/>
  <c r="Q33" i="63"/>
  <c r="Q6" i="63"/>
  <c r="Q5" i="63"/>
  <c r="V11" i="61"/>
  <c r="V37" i="61"/>
  <c r="V5" i="61"/>
  <c r="V17" i="61"/>
  <c r="V29" i="61"/>
  <c r="AA15" i="61"/>
  <c r="AA20" i="63"/>
  <c r="AA25" i="63"/>
  <c r="B8" i="63"/>
  <c r="V8" i="61"/>
  <c r="AA35" i="80"/>
  <c r="AA30" i="80"/>
  <c r="AA34" i="80"/>
  <c r="AA43" i="80"/>
  <c r="AA11" i="80"/>
  <c r="AA21" i="80"/>
  <c r="AA7" i="80"/>
  <c r="AA17" i="80"/>
  <c r="AA24" i="80"/>
  <c r="G28" i="80"/>
  <c r="G14" i="80"/>
  <c r="G29" i="80"/>
  <c r="G17" i="80"/>
  <c r="G24" i="80"/>
  <c r="G39" i="80"/>
  <c r="G36" i="80"/>
  <c r="G27" i="80"/>
  <c r="G15" i="80"/>
  <c r="G21" i="80"/>
  <c r="L5" i="80"/>
  <c r="L23" i="80"/>
  <c r="AA32" i="63"/>
  <c r="AA6" i="63"/>
  <c r="AA33" i="63"/>
  <c r="AA4" i="63"/>
  <c r="B13" i="61"/>
  <c r="B14" i="61"/>
  <c r="B12" i="61"/>
  <c r="B40" i="61"/>
  <c r="B33" i="61"/>
  <c r="B27" i="61"/>
  <c r="AA14" i="61"/>
  <c r="V14" i="61"/>
  <c r="AA13" i="63"/>
  <c r="V47" i="61"/>
  <c r="G5" i="61"/>
  <c r="L25" i="61"/>
  <c r="L22" i="61"/>
  <c r="L36" i="61"/>
  <c r="AA24" i="61"/>
  <c r="AA25" i="61"/>
  <c r="G25" i="63"/>
  <c r="G34" i="61"/>
  <c r="L14" i="10"/>
  <c r="L12" i="10"/>
  <c r="L30" i="61"/>
  <c r="G30" i="61"/>
  <c r="Q10" i="10"/>
  <c r="G19" i="61"/>
  <c r="V23" i="63"/>
  <c r="G23" i="61"/>
  <c r="L35" i="61"/>
  <c r="L41" i="61"/>
  <c r="L49" i="61"/>
  <c r="L27" i="61"/>
  <c r="L18" i="61"/>
  <c r="L8" i="59"/>
  <c r="V13" i="10"/>
  <c r="V6" i="10"/>
  <c r="V25" i="80"/>
  <c r="V9" i="80"/>
  <c r="V42" i="80"/>
  <c r="V34" i="80"/>
  <c r="V11" i="80"/>
  <c r="V24" i="80"/>
  <c r="V19" i="80"/>
  <c r="V23" i="80"/>
  <c r="V33" i="80"/>
  <c r="V4" i="80"/>
  <c r="B20" i="80"/>
  <c r="L13" i="10"/>
  <c r="L11" i="10"/>
  <c r="L7" i="10"/>
  <c r="L8" i="61"/>
  <c r="L24" i="61"/>
  <c r="L9" i="61"/>
  <c r="L37" i="61"/>
  <c r="L5" i="59"/>
  <c r="L6" i="59"/>
  <c r="V8" i="10"/>
  <c r="V12" i="10"/>
  <c r="V36" i="80"/>
  <c r="V13" i="80"/>
  <c r="V15" i="80"/>
  <c r="V18" i="80"/>
  <c r="V21" i="80"/>
  <c r="V5" i="80"/>
  <c r="V12" i="80"/>
  <c r="V16" i="80"/>
  <c r="V22" i="80"/>
  <c r="V39" i="80"/>
  <c r="B29" i="80"/>
  <c r="B6" i="80"/>
  <c r="B43" i="80"/>
  <c r="B28" i="80"/>
  <c r="B21" i="80"/>
  <c r="L16" i="10"/>
  <c r="L6" i="10"/>
  <c r="V5" i="10"/>
  <c r="V4" i="10"/>
  <c r="V37" i="80"/>
  <c r="V20" i="80"/>
  <c r="V30" i="80"/>
  <c r="V43" i="80"/>
  <c r="V10" i="80"/>
  <c r="V35" i="80"/>
  <c r="V40" i="80"/>
  <c r="V7" i="80"/>
  <c r="V17" i="80"/>
  <c r="B35" i="80"/>
  <c r="B17" i="80"/>
  <c r="B13" i="80"/>
  <c r="B39" i="80"/>
  <c r="L10" i="10"/>
  <c r="L8" i="10"/>
  <c r="F15" i="29" l="1"/>
  <c r="H15" i="29"/>
  <c r="G15" i="29"/>
  <c r="G5" i="10" s="1"/>
  <c r="E15" i="29"/>
  <c r="A16" i="10" s="1" a="1"/>
  <c r="A16" i="10" s="1"/>
  <c r="A13" i="10" l="1" a="1"/>
  <c r="A13" i="10" s="1"/>
  <c r="B13" i="10" s="1"/>
  <c r="A11" i="10" a="1"/>
  <c r="A11" i="10" s="1"/>
  <c r="A10" i="10" a="1"/>
  <c r="A10" i="10" s="1"/>
  <c r="A12" i="10" a="1"/>
  <c r="A12" i="10" s="1"/>
  <c r="B12" i="10" s="1"/>
  <c r="A4" i="10" a="1"/>
  <c r="A4" i="10" s="1"/>
  <c r="B4" i="10" s="1"/>
  <c r="A14" i="10" a="1"/>
  <c r="A14" i="10" s="1"/>
  <c r="A9" i="10" a="1"/>
  <c r="A9" i="10" s="1"/>
  <c r="B9" i="10" s="1"/>
  <c r="A8" i="10" a="1"/>
  <c r="A8" i="10" s="1"/>
  <c r="B8" i="10" s="1"/>
  <c r="A7" i="10" a="1"/>
  <c r="A7" i="10" s="1"/>
  <c r="B7" i="10" s="1"/>
  <c r="A5" i="10" a="1"/>
  <c r="A5" i="10" s="1"/>
  <c r="B5" i="10" s="1"/>
  <c r="A6" i="10" a="1"/>
  <c r="A6" i="10" s="1"/>
  <c r="B6" i="10" s="1"/>
  <c r="A15" i="10" a="1"/>
  <c r="A15" i="10" s="1"/>
  <c r="B15" i="10" s="1"/>
  <c r="A17" i="10" a="1"/>
  <c r="A17" i="10" s="1"/>
  <c r="G10" i="10"/>
  <c r="G7" i="10"/>
  <c r="G15" i="10"/>
  <c r="G12" i="10"/>
  <c r="G9" i="10"/>
  <c r="B10" i="10"/>
  <c r="G6" i="10"/>
  <c r="G16" i="10"/>
  <c r="G8" i="10"/>
  <c r="G13" i="10"/>
  <c r="B11" i="10"/>
  <c r="G14" i="10"/>
  <c r="G4" i="10"/>
  <c r="G11" i="10"/>
  <c r="B16" i="10"/>
  <c r="B1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Thompson, Eleanor - FNS</author>
  </authors>
  <commentList>
    <comment ref="F51" authorId="0" shapeId="0" xr:uid="{00000000-0006-0000-0200-000001000000}">
      <text>
        <r>
          <rPr>
            <sz val="9"/>
            <color indexed="81"/>
            <rFont val="Tahoma"/>
            <family val="2"/>
          </rPr>
          <t xml:space="preserve">If the SFA used small purchase procedures to secure the services of or goods from a GPO, GBO or third party entity, answer "yes" here.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Woods, Victoria - FNS</author>
  </authors>
  <commentList>
    <comment ref="G27" authorId="0" shapeId="0" xr:uid="{00000000-0006-0000-0600-000001000000}">
      <text>
        <r>
          <rPr>
            <b/>
            <sz val="9"/>
            <color indexed="81"/>
            <rFont val="Tahoma"/>
            <family val="2"/>
          </rPr>
          <t>Woods, Victoria - FNS:</t>
        </r>
        <r>
          <rPr>
            <sz val="9"/>
            <color indexed="81"/>
            <rFont val="Tahoma"/>
            <family val="2"/>
          </rPr>
          <t xml:space="preserve">
remove the ending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Thompson, Eleanor - FNS</author>
  </authors>
  <commentList>
    <comment ref="B5" authorId="0" shapeId="0" xr:uid="{00000000-0006-0000-0900-000001000000}">
      <text>
        <r>
          <rPr>
            <sz val="9"/>
            <color indexed="81"/>
            <rFont val="Tahoma"/>
            <family val="2"/>
          </rPr>
          <t xml:space="preserve">Reviewer Tip: Would a prudent person pay the same price as the SFA paid? For instance, $10 for a loaf of bread should not be considered "reasonable."
</t>
        </r>
      </text>
    </comment>
    <comment ref="B6" authorId="0" shapeId="0" xr:uid="{00000000-0006-0000-0900-000002000000}">
      <text>
        <r>
          <rPr>
            <sz val="9"/>
            <color indexed="81"/>
            <rFont val="Tahoma"/>
            <family val="2"/>
          </rPr>
          <t>Reviewer Tip: The vendor paid list/summary of expenses from the nonprofit food service account will show the value of purchases.  Are the values relatively equal, showing that the SFA is providing equal opportunity for qualified sources able to provide the goods and services needed by the SFA? For example, if the SFA, using micropurchase procedures spends $1,500 total at Retailer A and spends a total of $15,000 at Retailer B, this is not equitable.</t>
        </r>
      </text>
    </comment>
    <comment ref="B8" authorId="0" shapeId="0" xr:uid="{00000000-0006-0000-0900-000003000000}">
      <text>
        <r>
          <rPr>
            <sz val="9"/>
            <color indexed="81"/>
            <rFont val="Tahoma"/>
            <family val="2"/>
          </rPr>
          <t xml:space="preserve">
Under 7 CFR 3016.36(9), these records will include, but are not necessarily limited to the following: rationale for the method of procurement, selection of contract type, contractor selection or rejection, and the basis for the contract price.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Windows User</author>
    <author>Thompson, Eleanor - FNS</author>
  </authors>
  <commentList>
    <comment ref="B7" authorId="0" shapeId="0" xr:uid="{00000000-0006-0000-0A00-000001000000}">
      <text>
        <r>
          <rPr>
            <b/>
            <i/>
            <sz val="9"/>
            <color indexed="81"/>
            <rFont val="Tahoma"/>
            <family val="2"/>
          </rPr>
          <t>REVIEWER TIP:  If no responses, pursue why responses were not provided with the SFA.  Discuss with Resource Management person to determine if financial issues with the SFA exists. (EX.  not paying bills within 30 days)  Add comments of issues identified.</t>
        </r>
        <r>
          <rPr>
            <sz val="9"/>
            <color indexed="81"/>
            <rFont val="Tahoma"/>
            <family val="2"/>
          </rPr>
          <t xml:space="preserve">
</t>
        </r>
      </text>
    </comment>
    <comment ref="B15" authorId="1" shapeId="0" xr:uid="{00000000-0006-0000-0A00-000002000000}">
      <text>
        <r>
          <rPr>
            <sz val="9"/>
            <color indexed="81"/>
            <rFont val="Tahoma"/>
            <family val="2"/>
          </rPr>
          <t>Reviewer Tip:</t>
        </r>
        <r>
          <rPr>
            <i/>
            <sz val="9"/>
            <color indexed="81"/>
            <rFont val="Tahoma"/>
            <family val="2"/>
          </rPr>
          <t xml:space="preserve"> Review responses received and determine if the vendor selected was appropriate.  If only one vendor responded, determine if response is responsive and responsible and should be awarded.</t>
        </r>
        <r>
          <rPr>
            <sz val="9"/>
            <color indexed="81"/>
            <rFont val="Tahoma"/>
            <family val="2"/>
          </rPr>
          <t xml:space="preserve">
</t>
        </r>
      </text>
    </comment>
    <comment ref="B17" authorId="1" shapeId="0" xr:uid="{00000000-0006-0000-0A00-000003000000}">
      <text>
        <r>
          <rPr>
            <b/>
            <sz val="9"/>
            <color indexed="81"/>
            <rFont val="Tahoma"/>
            <family val="2"/>
          </rPr>
          <t xml:space="preserve">Reviewer Tip: </t>
        </r>
        <r>
          <rPr>
            <sz val="9"/>
            <color indexed="81"/>
            <rFont val="Tahoma"/>
            <family val="2"/>
          </rPr>
          <t>Review</t>
        </r>
        <r>
          <rPr>
            <b/>
            <sz val="9"/>
            <color indexed="81"/>
            <rFont val="Tahoma"/>
            <family val="2"/>
          </rPr>
          <t xml:space="preserve"> </t>
        </r>
        <r>
          <rPr>
            <sz val="9"/>
            <color indexed="81"/>
            <rFont val="Tahoma"/>
            <family val="2"/>
          </rPr>
          <t>three vendor invoices from the previous school year after the small purchaes were made to determine if the products and prices quoted in the vendor's response to the SFA's solicitation were actually charged by the vendor.</t>
        </r>
        <r>
          <rPr>
            <b/>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Thompson, Eleanor - FNS</author>
  </authors>
  <commentList>
    <comment ref="B7" authorId="0" shapeId="0" xr:uid="{00000000-0006-0000-0B00-000001000000}">
      <text>
        <r>
          <rPr>
            <b/>
            <sz val="9"/>
            <color indexed="81"/>
            <rFont val="Tahoma"/>
            <family val="2"/>
          </rPr>
          <t xml:space="preserve">One possible way to analyze would be to look at prior year expenditures. </t>
        </r>
        <r>
          <rPr>
            <sz val="9"/>
            <color indexed="81"/>
            <rFont val="Tahoma"/>
            <family val="2"/>
          </rPr>
          <t xml:space="preserve">
</t>
        </r>
      </text>
    </comment>
    <comment ref="B11" authorId="0" shapeId="0" xr:uid="{00000000-0006-0000-0B00-000002000000}">
      <text>
        <r>
          <rPr>
            <b/>
            <sz val="9"/>
            <color indexed="81"/>
            <rFont val="Tahoma"/>
            <family val="2"/>
          </rPr>
          <t>Reviewer Tip: If the clause referenced was not needed due to the nature of the solicitation/contract, the reviewer should indicate "Not Applicable." If the solicitation/contract should have included the referenced clause but did not include it, the reviewer should answer "No".</t>
        </r>
        <r>
          <rPr>
            <sz val="9"/>
            <color indexed="81"/>
            <rFont val="Tahoma"/>
            <family val="2"/>
          </rPr>
          <t xml:space="preserve">
</t>
        </r>
      </text>
    </comment>
    <comment ref="B34" authorId="0" shapeId="0" xr:uid="{00000000-0006-0000-0B00-000003000000}">
      <text>
        <r>
          <rPr>
            <sz val="9"/>
            <color indexed="81"/>
            <rFont val="Tahoma"/>
            <family val="2"/>
          </rPr>
          <t xml:space="preserve">
Under 7 CFR 3016.36(9), these records will include, but are not necessarily limited to the following: rationale for the method of procurement, selection of contract type, contractor selection or rejection, and the basis for the contract price.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Thompson, Eleanor - FNS</author>
    <author>Woods, Victoria - FNS</author>
    <author>Windows User</author>
  </authors>
  <commentList>
    <comment ref="B10" authorId="0" shapeId="0" xr:uid="{00000000-0006-0000-0C00-000001000000}">
      <text>
        <r>
          <rPr>
            <sz val="9"/>
            <color indexed="81"/>
            <rFont val="Tahoma"/>
            <family val="2"/>
          </rPr>
          <t xml:space="preserve">Reviiewer Tip: Review documentation of on-site monitoring to determine frequency of on-site visits and what issues, if any, were found.
</t>
        </r>
      </text>
    </comment>
    <comment ref="B11" authorId="1" shapeId="0" xr:uid="{00000000-0006-0000-0C00-000002000000}">
      <text>
        <r>
          <rPr>
            <b/>
            <sz val="9"/>
            <color indexed="81"/>
            <rFont val="Tahoma"/>
            <family val="2"/>
          </rPr>
          <t>Woods, Victoria - FNS:The word "official" needs to be added.</t>
        </r>
      </text>
    </comment>
    <comment ref="B18" authorId="2" shapeId="0" xr:uid="{00000000-0006-0000-0C00-000003000000}">
      <text>
        <r>
          <rPr>
            <sz val="9"/>
            <color indexed="81"/>
            <rFont val="Tahoma"/>
            <family val="2"/>
          </rPr>
          <t xml:space="preserve">SF:  is this redundant with above?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Thompson, Eleanor - FNS</author>
    <author>KLarson</author>
  </authors>
  <commentList>
    <comment ref="B11" authorId="0" shapeId="0" xr:uid="{00000000-0006-0000-0D00-000001000000}">
      <text>
        <r>
          <rPr>
            <b/>
            <sz val="9"/>
            <color indexed="81"/>
            <rFont val="Tahoma"/>
            <family val="2"/>
          </rPr>
          <t>Reviewer Tip</t>
        </r>
        <r>
          <rPr>
            <sz val="9"/>
            <color indexed="81"/>
            <rFont val="Tahoma"/>
            <family val="2"/>
          </rPr>
          <t xml:space="preserve">: SA distribution staff will be best resource for answering this question as they will know how much food was diverted to the processor. </t>
        </r>
      </text>
    </comment>
    <comment ref="B12" authorId="1" shapeId="0" xr:uid="{00000000-0006-0000-0D00-000002000000}">
      <text>
        <r>
          <rPr>
            <b/>
            <sz val="9"/>
            <color indexed="81"/>
            <rFont val="Tahoma"/>
            <family val="2"/>
          </rPr>
          <t>KLarson:</t>
        </r>
        <r>
          <rPr>
            <sz val="9"/>
            <color indexed="81"/>
            <rFont val="Tahoma"/>
            <family val="2"/>
          </rPr>
          <t xml:space="preserve">
Reference Question 17 above for EPDS food value.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Thompson, Eleanor - FNS</author>
  </authors>
  <commentList>
    <comment ref="B28" authorId="0" shapeId="0" xr:uid="{00000000-0006-0000-0E00-000001000000}">
      <text>
        <r>
          <rPr>
            <b/>
            <sz val="9"/>
            <color indexed="81"/>
            <rFont val="Tahoma"/>
            <family val="2"/>
          </rPr>
          <t>Reviewer Tip: If the clause referenced was not needed due to the nature of the solicitation/contract, the reviewer should indicate "Not Applicable." If the solicitation/contract should have included the referenced clause but did not include it, the reviewer should answer "No".</t>
        </r>
        <r>
          <rPr>
            <sz val="9"/>
            <color indexed="81"/>
            <rFont val="Tahoma"/>
            <family val="2"/>
          </rPr>
          <t xml:space="preserve">
</t>
        </r>
      </text>
    </comment>
    <comment ref="B38" authorId="0" shapeId="0" xr:uid="{00000000-0006-0000-0E00-000002000000}">
      <text>
        <r>
          <rPr>
            <sz val="12"/>
            <color indexed="81"/>
            <rFont val="Calibri"/>
            <family val="2"/>
          </rPr>
          <t>Review bid responses received by the SFA and scoring criteria included in the solicitation/as part of the award determination to determine if full and open competition was achieved in compliance with all Federal regulations.</t>
        </r>
      </text>
    </comment>
  </commentList>
</comments>
</file>

<file path=xl/sharedStrings.xml><?xml version="1.0" encoding="utf-8"?>
<sst xmlns="http://schemas.openxmlformats.org/spreadsheetml/2006/main" count="1363" uniqueCount="948">
  <si>
    <t>Type of Procurement</t>
  </si>
  <si>
    <t>Comments</t>
  </si>
  <si>
    <t>(2) For the purpose of applying the optional geographic procurement preference in paragraph (g)(1) of this section, “unprocessed locally grown or locally raised agricultural products” means only those agricultural products that retain their inherent character. The effects of the following food handling and preservation techniques shall not be considered as changing an agricultural product into a product of a different kind or character: Cooling; refrigerating; freezing; size adjustment made by peeling, slicing, dicing, cutting, chopping, shucking, and grinding; forming ground products into patties without any additives or fillers; drying/dehydration; washing; packaging (such as placing eggs in cartons), vacuum packing and bagging (such as placing vegetables in bags or combining two or more types of vegetables or fruits in a single package); the addition of ascorbic acid or other preservatives to prevent oxidation of produce; butchering livestock and poultry; cleaning fish; and the pasteurization of milk.</t>
  </si>
  <si>
    <t>(vi) The contractor must maintain documentation of costs and discounts, rebates and other applicable credits, and must furnish such documentation upon request to the school food authority, the State agency, or the Department.</t>
  </si>
  <si>
    <t>(v) The contractor must identify the method by which it will report discounts, rebates and other applicable credits allocable to the contract that are not reported prior to conclusion of the contract; and</t>
  </si>
  <si>
    <t>(iv) The contractor must identify the amount of each discount, rebate and other applicable credit on bills and invoices presented to the school food authority for payment and individually identify the amount as a discount, rebate, or in the case of other applicable credits, the nature of the credit. If approved by the State agency, the school food authority may permit the contractor to report this information on a less frequent basis than monthly, but no less frequently than annually;</t>
  </si>
  <si>
    <t>(iii) The contractor's determination of its allowable costs must be made in compliance with the applicable Departmental and Program regulations and Office of Management and Budget cost circulars;</t>
  </si>
  <si>
    <t>(B) The contractor must exclude all unallowable costs from its billing documents and certify that only allowable costs are submitted for payment and records have been established that maintain the visibility of unallowable costs, including directly associated costs in a manner suitable for contract cost determination and verification;</t>
  </si>
  <si>
    <t>(ii)(A) The contractor must separately identify for each cost submitted for payment to the school food authority the amount of that cost that is allowable (can be paid from the nonprofit school food service account) and the amount that is unallowable (cannot be paid from the nonprofit school food service account); or</t>
  </si>
  <si>
    <t>(i) Allowable costs will be paid from the nonprofit school food service account to the contractor net of all discounts, rebates and other applicable credits accruing to or received by the contractor or any assignee under the contract, to the extent those credits are allocable to the allowable portion of the costs billed to the school food authority;</t>
  </si>
  <si>
    <t>(B) A purchase of domestic commodity or product for the school lunch program under this part.</t>
  </si>
  <si>
    <t>(A) A school food authority located in the contiguous United States; and</t>
  </si>
  <si>
    <r>
      <t xml:space="preserve">(ii) </t>
    </r>
    <r>
      <rPr>
        <i/>
        <sz val="12"/>
        <color theme="1"/>
        <rFont val="Calibri"/>
        <family val="2"/>
        <scheme val="minor"/>
      </rPr>
      <t>Limitations.</t>
    </r>
    <r>
      <rPr>
        <sz val="12"/>
        <color theme="1"/>
        <rFont val="Calibri"/>
        <family val="2"/>
        <scheme val="minor"/>
      </rPr>
      <t xml:space="preserve"> Paragraph (d)(2)(i) of this section shall apply only to—</t>
    </r>
  </si>
  <si>
    <r>
      <t xml:space="preserve">(2) </t>
    </r>
    <r>
      <rPr>
        <i/>
        <sz val="12"/>
        <color theme="1"/>
        <rFont val="Calibri"/>
        <family val="2"/>
        <scheme val="minor"/>
      </rPr>
      <t>Requirement.</t>
    </r>
    <r>
      <rPr>
        <sz val="12"/>
        <color theme="1"/>
        <rFont val="Calibri"/>
        <family val="2"/>
        <scheme val="minor"/>
      </rPr>
      <t xml:space="preserve"> (i) </t>
    </r>
    <r>
      <rPr>
        <i/>
        <sz val="12"/>
        <color theme="1"/>
        <rFont val="Calibri"/>
        <family val="2"/>
        <scheme val="minor"/>
      </rPr>
      <t>In general.</t>
    </r>
    <r>
      <rPr>
        <sz val="12"/>
        <color theme="1"/>
        <rFont val="Calibri"/>
        <family val="2"/>
        <scheme val="minor"/>
      </rPr>
      <t xml:space="preserve"> Subject to paragraph (d)(2)(ii) of this section, the Department shall require that a school food authority purchase, to the maximum extent practicable, domestic commodities or products.</t>
    </r>
  </si>
  <si>
    <t>(ii) A food product that is processed in the United States substantially using agricultural commodities that are produced in the United States.</t>
  </si>
  <si>
    <t>(i) An agricultural commodity that is produced in the United States; and</t>
  </si>
  <si>
    <r>
      <t xml:space="preserve">(d) </t>
    </r>
    <r>
      <rPr>
        <i/>
        <sz val="12"/>
        <color theme="1"/>
        <rFont val="Calibri"/>
        <family val="2"/>
        <scheme val="minor"/>
      </rPr>
      <t>Buy American</t>
    </r>
    <r>
      <rPr>
        <sz val="12"/>
        <color theme="1"/>
        <rFont val="Calibri"/>
        <family val="2"/>
        <scheme val="minor"/>
      </rPr>
      <t xml:space="preserve">—(1) </t>
    </r>
    <r>
      <rPr>
        <i/>
        <sz val="12"/>
        <color theme="1"/>
        <rFont val="Calibri"/>
        <family val="2"/>
        <scheme val="minor"/>
      </rPr>
      <t>Definition of domestic commodity or product.</t>
    </r>
    <r>
      <rPr>
        <sz val="12"/>
        <color theme="1"/>
        <rFont val="Calibri"/>
        <family val="2"/>
        <scheme val="minor"/>
      </rPr>
      <t xml:space="preserve"> In this paragraph (d), the term ‘domestic commodity or product’ means—</t>
    </r>
  </si>
  <si>
    <r>
      <t xml:space="preserve">(3) </t>
    </r>
    <r>
      <rPr>
        <i/>
        <sz val="12"/>
        <color theme="1"/>
        <rFont val="Calibri"/>
        <family val="2"/>
        <scheme val="minor"/>
      </rPr>
      <t>Prohibited expenditures.</t>
    </r>
    <r>
      <rPr>
        <sz val="12"/>
        <color theme="1"/>
        <rFont val="Calibri"/>
        <family val="2"/>
        <scheme val="minor"/>
      </rPr>
      <t xml:space="preserve"> No expenditure may be made from the nonprofit school food service account for any cost resulting from a procurement failing to meet the requirements of this part.</t>
    </r>
  </si>
  <si>
    <t>(d) Duration of contract. The contract between a school food authority and food service management company shall be of a duration of no longer than 1 year; and options for the yearly renewal of a contract signed after February 16, 1988, may not exceed 4 additional years. All contracts shall include a termination clause whereby either party may cancel for cause with 60-day notification.</t>
  </si>
  <si>
    <t>(3) No payment is to be made for meals that are spoiled or unwholesome at time of delivery, do not meet detailed specifications as developed by the school food authority for each food component specified in §210.10, or do not otherwise meet the requirements of the contract. Specifications shall cover items such a grade, purchase units, style, condition, weight, ingredients, formulations, and delivery time.</t>
  </si>
  <si>
    <t>(2) The food service management company shall have State or local health certification for any facility outside the school in which it proposes to prepare meals and the food service management company shall maintain this health certification for the duration of the contract.</t>
  </si>
  <si>
    <t>(1) The food service management company shall maintain such records as the school food authority will need to support its Claim for Reimbursement under this part, and shall, at a minimum, report claim information to the school food authority promptly at the end of each month. Such records shall be made available to the school food authority, upon request, and shall be retained in accordance with §210.23(c).</t>
  </si>
  <si>
    <t>(c) Contracts. Contracts that permit all income and expenses to accrue to the food service management company and “cost-plus-a-percentage-of-cost” and “cost-plus-a-percentage-of-income” contracts are prohibited. Contracts that provide for fixed fees such as those that provide for management fees established on a per meal basis are allowed. Contractual agreements with food service management companies shall include provisions which ensure that the requirements of this section are met. Such agreements shall also include the following:</t>
  </si>
  <si>
    <t>(2) Any invitation to bid or request for proposal indicate that nonperformance subjects the food service management company to specified sanctions in instances where the food service management company violates or breaches contract terms. The school food authority shall indicate these sanctions in accordance with the procurement provisions stated in §210.21.</t>
  </si>
  <si>
    <t>(1) The invitation to bid or request for proposal contains a 21-day cycle menu developed in accordance with the provisions of §210.10, to be used as a standard for the purpose of basing bids or estimating average cost per meal. A school food authority with no capability to prepare a cycle menu may, with State agency approval, require that each food service management company include a 21-day cycle menu, developed in accordance with the provisions of §210.10, with its bid or proposal. The food service management company must adhere to the cycle for the first 21 days of meal service. Changes thereafter may be made with the approval of the school food authority.</t>
  </si>
  <si>
    <r>
      <t xml:space="preserve">(b) </t>
    </r>
    <r>
      <rPr>
        <i/>
        <sz val="12"/>
        <color theme="1"/>
        <rFont val="Calibri"/>
        <family val="2"/>
        <scheme val="minor"/>
      </rPr>
      <t>Invitation to bid.</t>
    </r>
    <r>
      <rPr>
        <sz val="12"/>
        <color theme="1"/>
        <rFont val="Calibri"/>
        <family val="2"/>
        <scheme val="minor"/>
      </rPr>
      <t xml:space="preserve"> In addition to adhering to the procurement standards under §210.21, school food authorities contracting with food service management companies shall ensure that:</t>
    </r>
  </si>
  <si>
    <t>(10) Ensure that the State agency has reviewed and approved the contract terms and that the school food authority has incorporated all State agency required changes into the contract or amendment before any contract or amendment to an existing food service management company contract is executed. Any changes made by the school food authority or a food service management company to a State agency pre-approved prototype contract or State agency approved contract term must be approved in writing by the State agency before the contract is executed. When requested, the school food authority must submit all procurement documents, including responses submitted by potential contractors, to the State agency, by the due date established by the State agency.</t>
  </si>
  <si>
    <t>(9) Obtain written approval of invitations for bids and requests for proposals before their issuance when required by the State agency. The school food authority must incorporate all State agency required changes to its solicitation documents before issuing those documents; and</t>
  </si>
  <si>
    <t>(8) Establish an advisory board composed of parents, teachers, and students to assist in menu planning;</t>
  </si>
  <si>
    <t>(7) Maintain applicable health certification and assure that all State and local regulations are being met by a food service management company preparing or serving meals at a school food authority facility;</t>
  </si>
  <si>
    <t>(6) Ensure that all federally donated foods received by the school food authority and made available to the food service management company accrue only to the benefit of the school food authority's nonprofit school food service and are fully utilized therein;</t>
  </si>
  <si>
    <t>(5) Retain signature authority on the State agency-school food authority agreement, free and reduced price policy statement and claims;</t>
  </si>
  <si>
    <t>(4) Retain control of the quality, extent, and general nature of its food service, and the prices to be charged the children for meals;</t>
  </si>
  <si>
    <t>(3) Monitor the food service operation through periodic on-site visits;</t>
  </si>
  <si>
    <t>(2) Ensure that the food service operation is in conformance with the school food authority's agreement under the Program;</t>
  </si>
  <si>
    <t>(1) Adhere to the procurement standards specified in §210.21 when contracting with the food service management company;</t>
  </si>
  <si>
    <t>(a) General. Any school food authority (including a State agency acting in the capacity of a school food authority) may contract with a food service management company to manage its food service operation in one or more of its schools. However, no school or school food authority may contract with a food service management company to operate an a la carte food service unless the company agrees to offer free, reduced price and paid reimbursable lunches to all eligible children. Any school food authority that employs a food service management company in the operation of its nonprofit school food service shall:</t>
  </si>
  <si>
    <t>§210.16 Food service management companies.</t>
  </si>
  <si>
    <t>Reviewer Comments</t>
  </si>
  <si>
    <t xml:space="preserve">Review Question </t>
  </si>
  <si>
    <t>§250.50   Contract requirements and procurement.</t>
  </si>
  <si>
    <t>§250.51   Crediting for, and use of, donated foods.</t>
  </si>
  <si>
    <t>§250.52   Storage and inventory management of donated foods.</t>
  </si>
  <si>
    <t>§250.53   Contract provisions.</t>
  </si>
  <si>
    <t>§250.54   Recordkeeping and reviews.</t>
  </si>
  <si>
    <t>(1) Preparing and serving meals;</t>
  </si>
  <si>
    <t>(2) Ordering or selection of donated foods, in coordination with the recipient agency, and in accordance with §250.58(a);</t>
  </si>
  <si>
    <t>(3) Storage and inventory management of donated foods, in accordance with §250.52; and</t>
  </si>
  <si>
    <t>(4) Payment of processing fees or submittal of refund requests to a processor on behalf of the recipient agency, or remittance of refunds for the value of donated foods in processed end products to the recipient agency, in accordance with the requirements in subpart C of this part.</t>
  </si>
  <si>
    <t>(1) Procure processed end products on behalf of the recipient agency; or</t>
  </si>
  <si>
    <t>(2) Act as an intermediary in passing the donated food value in processed end products on to the recipient agency.</t>
  </si>
  <si>
    <t>(1) A statement that the food service management company must credit the recipient agency for the value of all donated foods received for use in the recipient agency's meal service in the school year or fiscal year (including both entitlement and bonus foods), and including the value of donated foods contained in processed end products, in accordance with the contingencies in §250.51(a);</t>
  </si>
  <si>
    <t>(2) The method and frequency by which crediting will occur, and the means of documentation to be utilized to verify that the value of all donated foods has been credited;</t>
  </si>
  <si>
    <t>(3) The method of determining the donated food values to be used in crediting, in accordance with §250.51(c), or the actual donated food values;</t>
  </si>
  <si>
    <t>(4) Any activities relating to donated foods that the food service management company will be responsible for, in accordance with §250.50(d), and assurance that such activities will be performed in accordance with the applicable requirements in 7 CFR part 250;</t>
  </si>
  <si>
    <t>(6) A statement that the food service management company will use all other donated foods, or will use commercially purchased foods of the same generic identity, of U.S. origin, and of equal of better quality than the donated foods, in the recipient agency's food service;</t>
  </si>
  <si>
    <t>(7) Assurance that the procurement of processed end products on behalf of the recipient agency, as applicable, will ensure compliance with the requirements in subpart C of 7 CFR part 250 and with the provisions of distributing or recipient agency processing agreements, and will ensure crediting of the recipient agency for the value of donated foods contained in such end products at the processing agreement value;</t>
  </si>
  <si>
    <t>(8) Assurance that the food service management company will not itself enter into the processing agreement with the processor required in subpart C of 7 CFR part 250;</t>
  </si>
  <si>
    <t>(9) Assurance that the food service management company will comply with the storage and inventory requirements for donated foods;</t>
  </si>
  <si>
    <t>(10) A statement that the distributing agency, subdistributing agency, or recipient agency, the Comptroller General, the Department of Agriculture, or their duly authorized representatives, may perform onsite reviews of the food service management company's food service operation, including the review of records, to ensure compliance with requirements for the management and use of donated foods;</t>
  </si>
  <si>
    <t>(11) A statement that the food service management company will maintain records to document its compliance with requirements relating to donated foods, in accordance with §250.54(b); and</t>
  </si>
  <si>
    <t>(12) A statement that extensions or renewals of the contract, if applicable, are contingent upon the fulfillment of all contract provisions relating to donated foods.</t>
  </si>
  <si>
    <t>(1) The donated foods and processed end products received and provided to the food service management company for use in the recipient agency's food service;</t>
  </si>
  <si>
    <t>(2) Documentation that the food service management company has credited it for the value of all donated foods received for use in the recipient agency's food service in the school or fiscal year, including, in accordance with the requirements in §250.51(a), the value of donated foods contained in processed end products; and</t>
  </si>
  <si>
    <t>(3) The actual donated food values used in crediting.</t>
  </si>
  <si>
    <t>(1) The donated foods and processed end products received from, or on behalf of, the recipient agency, for use in the recipient agency's food service;</t>
  </si>
  <si>
    <t>(2) Documentation that it has credited the recipient agency for the value of all donated foods received for use in the recipient agency's food service in the school or fiscal year, including, in accordance with the requirements in §250.51(a), the value of donated foods contained in processed end products; and</t>
  </si>
  <si>
    <t>(3) Documentation of its procurement of processed end products on behalf of the recipient agency, as applicable.</t>
  </si>
  <si>
    <t>§210.21   Procurement.</t>
  </si>
  <si>
    <r>
      <t xml:space="preserve">(a) </t>
    </r>
    <r>
      <rPr>
        <i/>
        <sz val="12"/>
        <color theme="1"/>
        <rFont val="Calibri"/>
        <family val="2"/>
        <scheme val="minor"/>
      </rPr>
      <t>General.</t>
    </r>
    <r>
      <rPr>
        <sz val="12"/>
        <color theme="1"/>
        <rFont val="Calibri"/>
        <family val="2"/>
        <scheme val="minor"/>
      </rPr>
      <t xml:space="preserve"> State agencies and school food authorities shall comply with the requirements of this part and 7 CFR part 3016 or 7 CFR part 3019, as applicable, which implement the applicable Office of Management and Budget Circulars, concerning the procurement of all goods and services with nonprofit school food service account funds.</t>
    </r>
  </si>
  <si>
    <r>
      <t xml:space="preserve">(b) </t>
    </r>
    <r>
      <rPr>
        <i/>
        <sz val="12"/>
        <color theme="1"/>
        <rFont val="Calibri"/>
        <family val="2"/>
        <scheme val="minor"/>
      </rPr>
      <t>Contractual responsibilities.</t>
    </r>
    <r>
      <rPr>
        <sz val="12"/>
        <color theme="1"/>
        <rFont val="Calibri"/>
        <family val="2"/>
        <scheme val="minor"/>
      </rPr>
      <t xml:space="preserve"> The standards contained in this part and 7 CFR part 3015, 7 CFR part 3016 and 7 CFR part 3019, as applicable, do not relieve the State agency or school food authority of any contractual responsibilities under its contracts. The State agency or school food authority is the responsible authority, without recourse to FNS, regarding the settlement and satisfaction of all contractual and administrative issues arising out of procurements entered into in connection with the Program. This includes, but is not limited to source evaluation, protests, disputes, claims, or other matters of a contractual nature. Matters concerning violation of law are to be referred to the local, State, or Federal authority that has proper jurisdiction.</t>
    </r>
  </si>
  <si>
    <r>
      <t xml:space="preserve">(c) </t>
    </r>
    <r>
      <rPr>
        <i/>
        <sz val="12"/>
        <color theme="1"/>
        <rFont val="Calibri"/>
        <family val="2"/>
        <scheme val="minor"/>
      </rPr>
      <t>Procedures.</t>
    </r>
    <r>
      <rPr>
        <sz val="12"/>
        <color theme="1"/>
        <rFont val="Calibri"/>
        <family val="2"/>
        <scheme val="minor"/>
      </rPr>
      <t xml:space="preserve"> The State agency may elect to follow either the State laws, policies and procedures as authorized by §§3016.36(a) and 3016.37(a) of this title, or the procurement standards for other governmental grantees and all governmental subgrantees in accordance with §3016.36(b) through (i) of this title. Regardless of the option selected, States must ensure that all contracts include any clauses required by Federal statutes and executive orders and that the requirements of §3016.60(b) and (c) of this title are followed. A school food authority may use its own procurement procedures which reflect applicable State and local laws and regulations, provided that procurements made with nonprofit school food service account funds adhere to the standards set forth in this part and §§3016.36(b) through 3016.36(i), 3016.60 and 3019.40 through 3019.48 of this title, as applicable, and in the applicable Office of Management and Budget Circulars. School food authority procedures must include a written code of standards of conduct meeting the minimum standards of §3016.36(b)(3) or §3019.42 of this title, as applicable.</t>
    </r>
  </si>
  <si>
    <r>
      <t xml:space="preserve">(1) </t>
    </r>
    <r>
      <rPr>
        <i/>
        <sz val="12"/>
        <color theme="1"/>
        <rFont val="Calibri"/>
        <family val="2"/>
        <scheme val="minor"/>
      </rPr>
      <t>Pre-issuance review requirement.</t>
    </r>
    <r>
      <rPr>
        <sz val="12"/>
        <color theme="1"/>
        <rFont val="Calibri"/>
        <family val="2"/>
        <scheme val="minor"/>
      </rPr>
      <t xml:space="preserve"> The State agency may impose a pre-issuance review requirement on a school food authority's proposed procurement. The school food authority must make available, upon request by the State agency, its procurement documents, including but not limited to solicitation documents, specifications, evaluation criteria, procurement procedures, proposed contracts and contract terms. School food authorities shall comply with State agency requests for changes to procurement procedures and solicitation and contract documents to ensure that, to the State agency's satisfaction, such procedures and documents reflect applicable procurement and contract requirements and the requirements of this part.</t>
    </r>
  </si>
  <si>
    <r>
      <t xml:space="preserve">(2) </t>
    </r>
    <r>
      <rPr>
        <i/>
        <sz val="12"/>
        <color theme="1"/>
        <rFont val="Calibri"/>
        <family val="2"/>
        <scheme val="minor"/>
      </rPr>
      <t>Prototype solicitation documents and contracts.</t>
    </r>
    <r>
      <rPr>
        <sz val="12"/>
        <color theme="1"/>
        <rFont val="Calibri"/>
        <family val="2"/>
        <scheme val="minor"/>
      </rPr>
      <t xml:space="preserve"> The school food authority must obtain the State agency's prior written approval for any change made to prototype solicitation or contract documents before issuing the revised solicitation documents or execution of the revised contract.</t>
    </r>
  </si>
  <si>
    <r>
      <t xml:space="preserve">(3) </t>
    </r>
    <r>
      <rPr>
        <i/>
        <sz val="12"/>
        <color theme="1"/>
        <rFont val="Calibri"/>
        <family val="2"/>
        <scheme val="minor"/>
      </rPr>
      <t>Applicability to Hawaii.</t>
    </r>
    <r>
      <rPr>
        <sz val="12"/>
        <color theme="1"/>
        <rFont val="Calibri"/>
        <family val="2"/>
        <scheme val="minor"/>
      </rPr>
      <t xml:space="preserve"> Paragraph (d)(2)(i) of this section shall apply to a school food authority in Hawaii with respect to domestic commodities or products that are produced in Hawaii in sufficient quantities to meet the needs of meals provided under the school lunch program under this part.</t>
    </r>
  </si>
  <si>
    <r>
      <t xml:space="preserve">(e) </t>
    </r>
    <r>
      <rPr>
        <i/>
        <sz val="12"/>
        <color theme="1"/>
        <rFont val="Calibri"/>
        <family val="2"/>
        <scheme val="minor"/>
      </rPr>
      <t>Restrictions on the sale of milk.</t>
    </r>
    <r>
      <rPr>
        <sz val="12"/>
        <color theme="1"/>
        <rFont val="Calibri"/>
        <family val="2"/>
        <scheme val="minor"/>
      </rPr>
      <t xml:space="preserve"> A school food authority participating in the Program, or a person approved by a school participating in the Program, must not directly or indirectly restrict the sale or marketing of fluid milk (as described in §210.10(d)(4) of this chapter) at any time or in any place on school premises or at any school-sponsored event.</t>
    </r>
  </si>
  <si>
    <r>
      <t xml:space="preserve">(f) </t>
    </r>
    <r>
      <rPr>
        <i/>
        <sz val="12"/>
        <color theme="1"/>
        <rFont val="Calibri"/>
        <family val="2"/>
        <scheme val="minor"/>
      </rPr>
      <t>Cost reimbursable contracts</t>
    </r>
    <r>
      <rPr>
        <sz val="12"/>
        <color theme="1"/>
        <rFont val="Calibri"/>
        <family val="2"/>
        <scheme val="minor"/>
      </rPr>
      <t xml:space="preserve">—(1) </t>
    </r>
    <r>
      <rPr>
        <i/>
        <sz val="12"/>
        <color theme="1"/>
        <rFont val="Calibri"/>
        <family val="2"/>
        <scheme val="minor"/>
      </rPr>
      <t>Required provisions.</t>
    </r>
    <r>
      <rPr>
        <sz val="12"/>
        <color theme="1"/>
        <rFont val="Calibri"/>
        <family val="2"/>
        <scheme val="minor"/>
      </rPr>
      <t xml:space="preserve"> The school food authority must include the following provisions in all cost reimbursable contracts, including contracts with cost reimbursable provisions, and in solicitation documents prepared to obtain offers for such contracts:</t>
    </r>
  </si>
  <si>
    <r>
      <t xml:space="preserve">(2) </t>
    </r>
    <r>
      <rPr>
        <i/>
        <sz val="12"/>
        <color theme="1"/>
        <rFont val="Calibri"/>
        <family val="2"/>
        <scheme val="minor"/>
      </rPr>
      <t>Prohibited expenditures.</t>
    </r>
    <r>
      <rPr>
        <sz val="12"/>
        <color theme="1"/>
        <rFont val="Calibri"/>
        <family val="2"/>
        <scheme val="minor"/>
      </rPr>
      <t xml:space="preserve"> No expenditure may be made from the nonprofit school food service account for any cost resulting from a cost reimbursable contract that fails to include the requirements of this section, nor may any expenditure be made from the nonprofit school food service account that permits or results in the contractor receiving payments in excess of the contractor's actual, net allowable costs.</t>
    </r>
  </si>
  <si>
    <r>
      <t xml:space="preserve">(g) </t>
    </r>
    <r>
      <rPr>
        <i/>
        <sz val="12"/>
        <color theme="1"/>
        <rFont val="Calibri"/>
        <family val="2"/>
        <scheme val="minor"/>
      </rPr>
      <t>Geographic preference.</t>
    </r>
    <r>
      <rPr>
        <sz val="12"/>
        <color theme="1"/>
        <rFont val="Calibri"/>
        <family val="2"/>
        <scheme val="minor"/>
      </rPr>
      <t xml:space="preserve"> (1) A school food authority participating in the Program, as well as State agencies making purchases on behalf of such school food authorities, may apply a geographic preference when procuring unprocessed locally grown or locally raised agricultural products. When utilizing the geographic preference to procure such products, the school food authority making the purchase or the State agency making purchases on behalf of such school food authorities have the discretion to determine the local area to which the geographic preference option will be applied;</t>
    </r>
  </si>
  <si>
    <t>7 CFR 210 - CLICK HERE FOR LINK TO ENTIRE REGULATION</t>
  </si>
  <si>
    <t>Goods/Services Provided</t>
  </si>
  <si>
    <t>Goods Provided</t>
  </si>
  <si>
    <t>Emergency</t>
  </si>
  <si>
    <t>Sole Source</t>
  </si>
  <si>
    <t xml:space="preserve">Comments &amp; Technical Assistance </t>
  </si>
  <si>
    <t>§200.317 Procurements by states.</t>
  </si>
  <si>
    <r>
      <t xml:space="preserve">When procuring property and services under a Federal award, a state must follow the same policies and procedures it uses for procurements from its non-Federal funds. The state will comply with §200.322 Procurement of recovered </t>
    </r>
    <r>
      <rPr>
        <i/>
        <sz val="11"/>
        <color theme="1"/>
        <rFont val="Arial"/>
        <family val="2"/>
      </rPr>
      <t>materials</t>
    </r>
    <r>
      <rPr>
        <sz val="11"/>
        <color theme="1"/>
        <rFont val="Arial"/>
        <family val="2"/>
      </rPr>
      <t xml:space="preserve"> and ensure that every purchase order or other contract includes any clauses required by section §200.326 Contract provisions. All other non-Federal entities, including subrecipients of a state, will follow §§200.318 General procurement standards through 200.326 Contract provisions.</t>
    </r>
  </si>
  <si>
    <t>§200.318 General procurement standards.</t>
  </si>
  <si>
    <t>(a) The non-Federal entity must use its own documented procurement procedures which reflect applicable State, local, and tribal laws and regulations, provided that the procurements conform to applicable Federal law and the standards identified in this part.</t>
  </si>
  <si>
    <t>(b) Non-Federal entities must maintain oversight to ensure that contractors perform in accordance with the terms, conditions, and specifications of their contracts or purchase orders.</t>
  </si>
  <si>
    <t>(c)(1) The non-Federal entity must maintain written standards of conduct covering conflicts of interest and governing the actions of its employees engaged in the selection, award and administration of contracts. No employee, officer, or agent may participate in the selection, award, or administration of a contract supported by a Federal award if he or she has a real or apparent conflict of interest. Such a conflict of interest would arise when the employee, officer, or agent, any member of his or her immediate family, his or her partner, or an organization which employs or is about to employ any of the parties indicated herein, has a financial or other interest in or a tangible personal benefit from a firm considered for a contract. The officers, employees, and agents of the non-Federal entity may neither solicit nor accept gratuities, favors, or anything of monetary value from contractors or parties to subcontracts. However, non-Federal entities may set standards for situations in which the financial interest is not substantial or the gift is an unsolicited item of nominal value. The standards of conduct must provide for disciplinary actions to be applied for violations of such standards by officers, employees, or agents of the non-Federal entity.</t>
  </si>
  <si>
    <t>(2) If the non-Federal entity has a parent, affiliate, or subsidiary organization that is not a state, local government, or Indian tribe, the non-Federal entity must also maintain written standards of conduct covering organizational conflicts of interest. Organizational conflicts of interest means that because of relationships with a parent company, affiliate, or subsidiary organization, the non-Federal entity is unable or appears to be unable to be impartial in conducting a procurement action involving a related organization.</t>
  </si>
  <si>
    <t>(d) The non-Federal entity's procedures must avoid acquisition of unnecessary or duplicative items. Consideration should be given to consolidating or breaking out procurements to obtain a more economical purchase. Where appropriate, an analysis will be made of lease versus purchase alternatives, and any other appropriate analysis to determine the most economical approach.</t>
  </si>
  <si>
    <t>(e) To foster greater economy and efficiency, and in accordance with efforts to promote cost-effective use of shared services across the Federal Government, the non-Federal entity is encouraged to enter into state and local intergovernmental agreements or inter-entity agreements where appropriate for procurement or use of common or shared goods and services.</t>
  </si>
  <si>
    <t>(f) The non-Federal entity is encouraged to use Federal excess and surplus property in lieu of purchasing new equipment and property whenever such use is feasible and reduces project costs.</t>
  </si>
  <si>
    <t>(g) The non-Federal entity is encouraged to use value engineering clauses in contracts for construction projects of sufficient size to offer reasonable opportunities for cost reductions. Value engineering is a systematic and creative analysis of each contract item or task to ensure that its essential function is provided at the overall lower cost.</t>
  </si>
  <si>
    <t>(h) The non-Federal entity must award contracts only to responsible contractors possessing the ability to perform successfully under the terms and conditions of a proposed procurement. Consideration will be given to such matters as contractor integrity, compliance with public policy, record of past performance, and financial and technical resources. See also §200.212 Suspension and debarment.</t>
  </si>
  <si>
    <t>(i) The non-Federal entity must maintain records sufficient to detail the history of procurement. These records will include, but are not necessarily limited to the following: rationale for the method of procurement, selection of contract type, contractor selection or rejection, and the basis for the contract price.</t>
  </si>
  <si>
    <t>(j)(1) The non-Federal entity may use a time and materials type contract only after a determination that no other contract is suitable and if the contract includes a ceiling price that the contractor exceeds at its own risk. Time and materials type contract means a contract whose cost to a non-Federal entity is the sum of:</t>
  </si>
  <si>
    <t>(i) The actual cost of materials; and</t>
  </si>
  <si>
    <t>(ii) Direct labor hours charged at fixed hourly rates that reflect wages, general and administrative expenses, and profit.</t>
  </si>
  <si>
    <t>(2) Since this formula generates an open-ended contract price, a time-and-materials contract provides no positive profit incentive to the contractor for cost control or labor efficiency. Therefore, each contract must set a ceiling price that the contractor exceeds at its own risk. Further, the non-Federal entity awarding such a contract must assert a high degree of oversight in order to obtain reasonable assurance that the contractor is using efficient methods and effective cost controls.</t>
  </si>
  <si>
    <t>(k) The non-Federal entity alone must be responsible, in accordance with good administrative practice and sound business judgment, for the settlement of all contractual and administrative issues arising out of procurements. These issues include, but are not limited to, source evaluation, protests, disputes, and claims. These standards do not relieve the non-Federal entity of any contractual responsibilities under its contracts. The Federal awarding agency will not substitute its judgment for that of the non-Federal entity unless the matter is primarily a Federal concern. Violations of law will be referred to the local, state, or Federal authority having proper jurisdiction.</t>
  </si>
  <si>
    <t>§200.319 Competition.</t>
  </si>
  <si>
    <t>(a) All procurement transactions must be conducted in a manner providing full and open competition consistent with the standards of this section. In order to ensure objective contractor performance and eliminate unfair competitive advantage, contractors that develop or draft specifications, requirements, statements of work, or invitations for bids or requests for proposals must be excluded from competing for such procurements. Some of the situations considered to be restrictive of competition include but are not limited to:</t>
  </si>
  <si>
    <t>(1) Placing unreasonable requirements on firms in order for them to qualify to do business;</t>
  </si>
  <si>
    <t>(2) Requiring unnecessary experience and excessive bonding;</t>
  </si>
  <si>
    <t>(3) Noncompetitive pricing practices between firms or between affiliated companies;</t>
  </si>
  <si>
    <t>(4) Noncompetitive contracts to consultants that are on retainer contracts;</t>
  </si>
  <si>
    <t>(5) Organizational conflicts of interest;</t>
  </si>
  <si>
    <t>(6) Specifying only a “brand name” product instead of allowing “an equal” product to be offered and describing the performance or other relevant requirements of the procurement; and</t>
  </si>
  <si>
    <t>(7) Any arbitrary action in the procurement process.</t>
  </si>
  <si>
    <t>(b) The non-Federal entity must conduct procurements in a manner that prohibits the use of statutorily or administratively imposed state, local, or tribal geographical preferences in the evaluation of bids or proposals, except in those cases where applicable Federal statutes expressly mandate or encourage geographic preference. Nothing in this section preempts state licensing laws. When contracting for architectural and engineering (A/E) services, geographic location may be a selection criterion provided its application leaves an appropriate number of qualified firms, given the nature and size of the project, to compete for the contract.</t>
  </si>
  <si>
    <t>(c) The non-Federal entity must have written procedures for procurement transactions. These procedures must ensure that all solicitations:</t>
  </si>
  <si>
    <t>(1) Incorporate a clear and accurate description of the technical requirements for the material, product, or service to be procured. Such description must not, in competitive procurements, contain features which unduly restrict competition. The description may include a statement of the qualitative nature of the material, product or service to be procured and, when necessary, must set forth those minimum essential characteristics and standards to which it must conform if it is to satisfy its intended use. Detailed product specifications should be avoided if at all possible. When it is impractical or uneconomical to make a clear and accurate description of the technical requirements, a “brand name or equivalent” description may be used as a means to define the performance or other salient requirements of procurement. The specific features of the named brand which must be met by offers must be clearly stated; and</t>
  </si>
  <si>
    <t>(2) Identify all requirements which the offerors must fulfill and all other factors to be used in evaluating bids or proposals.</t>
  </si>
  <si>
    <t>(d) The non-Federal entity must ensure that all prequalified lists of persons, firms, or products which are used in acquiring goods and services are current and include enough qualified sources to ensure maximum open and free competition. Also, the non-Federal entity must not preclude potential bidders from qualifying during the solicitation period.</t>
  </si>
  <si>
    <t>[78 FR 78608, Dec. 26, 2013, as amended at 79 FR 75885, Dec. 19, 2014]</t>
  </si>
  <si>
    <t>§200.320 Methods of procurement to be followed.</t>
  </si>
  <si>
    <t>The non-Federal entity must use one of the following methods of procurement.</t>
  </si>
  <si>
    <t>(a) Procurement by micro-purchases. Procurement by micro-purchase is the acquisition of supplies or services, the aggregate dollar amount of which does not exceed the micro-purchase threshold (§200.67 Micro-purchase). To the extent practicable, the non-Federal entity must distribute micro-purchases equitably among qualified suppliers. Micro-purchases may be awarded without soliciting competitive quotations if the non-Federal entity considers the price to be reasonable.</t>
  </si>
  <si>
    <t>(b) Procurement by small purchase procedures. Small purchase procedures are those relatively simple and informal procurement methods for securing services, supplies, or other property that do not cost more than the Simplified Acquisition Threshold. If small purchase procedures are used, price or rate quotations must be obtained from an adequate number of qualified sources.</t>
  </si>
  <si>
    <t>(c) Procurement by sealed bids (formal advertising). Bids are publicly solicited and a firm fixed price contract (lump sum or unit price) is awarded to the responsible bidder whose bid, conforming with all the material terms and conditions of the invitation for bids, is the lowest in price. The sealed bid method is the preferred method for procuring construction, if the conditions in paragraph (c)(1) of this section apply.</t>
  </si>
  <si>
    <t>(1) In order for sealed bidding to be feasible, the following conditions should be present:</t>
  </si>
  <si>
    <t>(i) A complete, adequate, and realistic specification or purchase description is available;</t>
  </si>
  <si>
    <t>(ii) Two or more responsible bidders are willing and able to compete effectively for the business; and</t>
  </si>
  <si>
    <t>(iii) The procurement lends itself to a firm fixed price contract and the selection of the successful bidder can be made principally on the basis of price.</t>
  </si>
  <si>
    <t>(2) If sealed bids are used, the following requirements apply:</t>
  </si>
  <si>
    <t>(i) Bids must be solicited from an adequate number of known suppliers, providing them sufficient response time prior to the date set for opening the bids, for state, local, and tribal governments, the invitation for bids must be publically advertised;</t>
  </si>
  <si>
    <t>(ii) The invitation for bids, which will include any specifications and pertinent attachments, must define the items or services in order for the bidder to properly respond;</t>
  </si>
  <si>
    <t>(iii) All bids will be opened at the time and place prescribed in the invitation for bids, and for local and tribal governments, the bids must be opened publicly;</t>
  </si>
  <si>
    <t>(iv) A firm fixed price contract award will be made in writing to the lowest responsive and responsible bidder. Where specified in bidding documents, factors such as discounts, transportation cost, and life cycle costs must be considered in determining which bid is lowest. Payment discounts will only be used to determine the low bid when prior experience indicates that such discounts are usually taken advantage of; and</t>
  </si>
  <si>
    <t>(v) Any or all bids may be rejected if there is a sound documented reason.</t>
  </si>
  <si>
    <t>(d) Procurement by competitive proposals. The technique of competitive proposals is normally conducted with more than one source submitting an offer, and either a fixed price or cost-reimbursement type contract is awarded. It is generally used when conditions are not appropriate for the use of sealed bids. If this method is used, the following requirements apply:</t>
  </si>
  <si>
    <t>(1) Requests for proposals must be publicized and identify all evaluation factors and their relative importance. Any response to publicized requests for proposals must be considered to the maximum extent practical;</t>
  </si>
  <si>
    <t>(2) Proposals must be solicited from an adequate number of qualified sources;</t>
  </si>
  <si>
    <t>(3) The non-Federal entity must have a written method for conducting technical evaluations of the proposals received and for selecting recipients;</t>
  </si>
  <si>
    <t>(4) Contracts must be awarded to the responsible firm whose proposal is most advantageous to the program, with price and other factors considered; and</t>
  </si>
  <si>
    <t>(5) The non-Federal entity may use competitive proposal procedures for qualifications-based procurement of architectural/engineering (A/E) professional services whereby competitors' qualifications are evaluated and the most qualified competitor is selected, subject to negotiation of fair and reasonable compensation. The method, where price is not used as a selection factor, can only be used in procurement of A/E professional services. It cannot be used to purchase other types of services though A/E firms are a potential source to perform the proposed effort.</t>
  </si>
  <si>
    <t>(e) [Reserved]</t>
  </si>
  <si>
    <t>(f) Procurement by noncompetitive proposals. Procurement by noncompetitive proposals is procurement through solicitation of a proposal from only one source and may be used only when one or more of the following circumstances apply:</t>
  </si>
  <si>
    <t>(1) The item is available only from a single source;</t>
  </si>
  <si>
    <t>(2) The public exigency or emergency for the requirement will not permit a delay resulting from competitive solicitation;</t>
  </si>
  <si>
    <t>(3) The Federal awarding agency or pass-through entity expressly authorizes noncompetitive proposals in response to a written request from the non-Federal entity; or</t>
  </si>
  <si>
    <t>(4) After solicitation of a number of sources, competition is determined inadequate.</t>
  </si>
  <si>
    <t>§200.321 Contracting with small and minority businesses, women's business enterprises, and labor surplus area firms.</t>
  </si>
  <si>
    <t>(a) The non-Federal entity must take all necessary affirmative steps to assure that minority businesses, women's business enterprises, and labor surplus area firms are used when possible.</t>
  </si>
  <si>
    <t>(b) Affirmative steps must include:</t>
  </si>
  <si>
    <t>(1) Placing qualified small and minority businesses and women's business enterprises on solicitation lists;</t>
  </si>
  <si>
    <t>(2) Assuring that small and minority businesses, and women's business enterprises are solicited whenever they are potential sources;</t>
  </si>
  <si>
    <t>(3) Dividing total requirements, when economically feasible, into smaller tasks or quantities to permit maximum participation by small and minority businesses, and women's business enterprises;</t>
  </si>
  <si>
    <t>(4) Establishing delivery schedules, where the requirement permits, which encourage participation by small and minority businesses, and women's business enterprises;</t>
  </si>
  <si>
    <t>(5) Using the services and assistance, as appropriate, of such organizations as the Small Business Administration and the Minority Business Development Agency of the Department of Commerce; and</t>
  </si>
  <si>
    <t>(6) Requiring the prime contractor, if subcontracts are to be let, to take the affirmative steps listed in paragraphs (1) through (5) of this section.</t>
  </si>
  <si>
    <t>§200.322 Procurement of recovered materials.</t>
  </si>
  <si>
    <t>A non-Federal entity that is a state agency or agency of a political subdivision of a state and its contractors must comply with section 6002 of the Solid Waste Disposal Act, as amended by the Resource Conservation and Recovery Act. The requirements of Section 6002 include procuring only items designated in guidelines of the Environmental Protection Agency (EPA) at 40 CFR part 247 that contain the highest percentage of recovered materials practicable, consistent with maintaining a satisfactory level of competition, where the purchase price of the item exceeds $10,000 or the value of the quantity acquired during the preceding fiscal year exceeded $10,000; procuring solid waste management services in a manner that maximizes energy and resource recovery; and establishing an affirmative procurement program for procurement of recovered materials identified in the EPA guidelines.</t>
  </si>
  <si>
    <t>§200.323 Contract cost and price.</t>
  </si>
  <si>
    <t>(a) The non-Federal entity must perform a cost or price analysis in connection with every procurement action in excess of the Simplified Acquisition Threshold including contract modifications. The method and degree of analysis is dependent on the facts surrounding the particular procurement situation, but as a starting point, the non-Federal entity must make independent estimates before receiving bids or proposals.</t>
  </si>
  <si>
    <t>(b) The non-Federal entity must negotiate profit as a separate element of the price for each contract in which there is no price competition and in all cases where cost analysis is performed. To establish a fair and reasonable profit, consideration must be given to the complexity of the work to be performed, the risk borne by the contractor, the contractor's investment, the amount of subcontracting, the quality of its record of past performance, and industry profit rates in the surrounding geographical area for similar work.</t>
  </si>
  <si>
    <t>(c) Costs or prices based on estimated costs for contracts under the Federal award are allowable only to the extent that costs incurred or cost estimates included in negotiated prices would be allowable for the non-Federal entity under Subpart E—Cost Principles of this part. The non-Federal entity may reference its own cost principles that comply with the Federal cost principles.</t>
  </si>
  <si>
    <t>(d) The cost plus a percentage of cost and percentage of construction cost methods of contracting must not be used.</t>
  </si>
  <si>
    <t>§200.324 Federal awarding agency or pass-through entity review.</t>
  </si>
  <si>
    <t>(a) The non-Federal entity must make available, upon request of the Federal awarding agency or pass-through entity, technical specifications on proposed procurements where the Federal awarding agency or pass-through entity believes such review is needed to ensure that the item or service specified is the one being proposed for acquisition. This review generally will take place prior to the time the specification is incorporated into a solicitation document. However, if the non-Federal entity desires to have the review accomplished after a solicitation has been developed, the Federal awarding agency or pass-through entity may still review the specifications, with such review usually limited to the technical aspects of the proposed purchase.</t>
  </si>
  <si>
    <t>(b) The non-Federal entity must make available upon request, for the Federal awarding agency or pass-through entity pre-procurement review, procurement documents, such as requests for proposals or invitations for bids, or independent cost estimates, when:</t>
  </si>
  <si>
    <t>(1) The non-Federal entity's procurement procedures or operation fails to comply with the procurement standards in this part;</t>
  </si>
  <si>
    <t>(2) The procurement is expected to exceed the Simplified Acquisition Threshold and is to be awarded without competition or only one bid or offer is received in response to a solicitation;</t>
  </si>
  <si>
    <t>(3) The procurement, which is expected to exceed the Simplified Acquisition Threshold, specifies a “brand name” product;</t>
  </si>
  <si>
    <t>(4) The proposed contract is more than the Simplified Acquisition Threshold and is to be awarded to other than the apparent low bidder under a sealed bid procurement; or</t>
  </si>
  <si>
    <t>(5) A proposed contract modification changes the scope of a contract or increases the contract amount by more than the Simplified Acquisition Threshold.</t>
  </si>
  <si>
    <t>(c) The non-Federal entity is exempt from the pre-procurement review in paragraph (b) of this section if the Federal awarding agency or pass-through entity determines that its procurement systems comply with the standards of this part.</t>
  </si>
  <si>
    <t>(1) The non-Federal entity may request that its procurement system be reviewed by the Federal awarding agency or pass-through entity to determine whether its system meets these standards in order for its system to be certified. Generally, these reviews must occur where there is continuous high-dollar funding, and third party contracts are awarded on a regular basis;</t>
  </si>
  <si>
    <t>(2) The non-Federal entity may self-certify its procurement system. Such self-certification must not limit the Federal awarding agency's right to survey the system. Under a self-certification procedure, the Federal awarding agency may rely on written assurances from the non-Federal entity that it is complying with these standards. The non-Federal entity must cite specific policies, procedures, regulations, or standards as being in compliance with these requirements and have its system available for review.</t>
  </si>
  <si>
    <t>§200.325 Bonding requirements.</t>
  </si>
  <si>
    <t>For construction or facility improvement contracts or subcontracts exceeding the Simplified Acquisition Threshold, the Federal awarding agency or pass-through entity may accept the bonding policy and requirements of the non-Federal entity provided that the Federal awarding agency or pass-through entity has made a determination that the Federal interest is adequately protected. If such a determination has not been made, the minimum requirements must be as follows:</t>
  </si>
  <si>
    <t>(a) A bid guarantee from each bidder equivalent to five percent of the bid price. The “bid guarantee” must consist of a firm commitment such as a bid bond, certified check, or other negotiable instrument accompanying a bid as assurance that the bidder will, upon acceptance of the bid, execute such contractual documents as may be required within the time specified.</t>
  </si>
  <si>
    <t>(b) A performance bond on the part of the contractor for 100 percent of the contract price. A “performance bond” is one executed in connection with a contract to secure fulfillment of all the contractor's obligations under such contract.</t>
  </si>
  <si>
    <t>(c) A payment bond on the part of the contractor for 100 percent of the contract price. A “payment bond” is one executed in connection with a contract to assure payment as required by law of all persons supplying labor and material in the execution of the work provided for in the contract.</t>
  </si>
  <si>
    <t>§200.326 Contract provisions.</t>
  </si>
  <si>
    <t>The non-Federal entity's contracts must contain the applicable provisions described in Appendix II to Part 200—Contract Provisions for non-Federal Entity Contracts Under Federal Awards.</t>
  </si>
  <si>
    <t>Click here for Title 2 Part 200</t>
  </si>
  <si>
    <t>YES</t>
  </si>
  <si>
    <t>NO</t>
  </si>
  <si>
    <t>Invitation for Bid</t>
  </si>
  <si>
    <t>Request for Proposal</t>
  </si>
  <si>
    <t>Small Purchase Procedures</t>
  </si>
  <si>
    <t>$2 million and above</t>
  </si>
  <si>
    <t>two</t>
  </si>
  <si>
    <t>three</t>
  </si>
  <si>
    <t>$500,000 or above but below $2 million</t>
  </si>
  <si>
    <t>values</t>
  </si>
  <si>
    <t>Between 1 month &amp; 1 year</t>
  </si>
  <si>
    <t>Annual/1 year contract</t>
  </si>
  <si>
    <t>Weekly contract</t>
  </si>
  <si>
    <t>Monthly contract</t>
  </si>
  <si>
    <t>Other</t>
  </si>
  <si>
    <t>duration</t>
  </si>
  <si>
    <t>select</t>
  </si>
  <si>
    <t>Cost Reimbursable</t>
  </si>
  <si>
    <t>contracts</t>
  </si>
  <si>
    <t>values4 for contracts above $150K</t>
  </si>
  <si>
    <t>solicitations2 (no small purchase)</t>
  </si>
  <si>
    <t>Fee for Service</t>
  </si>
  <si>
    <t>Direct Discount</t>
  </si>
  <si>
    <t>Hybrid/Net Off Invoice</t>
  </si>
  <si>
    <t>Rebate System</t>
  </si>
  <si>
    <t>passthrough</t>
  </si>
  <si>
    <t>value4</t>
  </si>
  <si>
    <t>Fixed Price</t>
  </si>
  <si>
    <t>Select for Review</t>
  </si>
  <si>
    <t>Base Year</t>
  </si>
  <si>
    <t>Contract Year (Select from Drop Down)</t>
  </si>
  <si>
    <t>contractyearselect</t>
  </si>
  <si>
    <t>Quotes</t>
  </si>
  <si>
    <t>contracts5</t>
  </si>
  <si>
    <t>Micro Purchase Procedures</t>
  </si>
  <si>
    <t>Did the SFA receive more than one response to its solicitation?</t>
  </si>
  <si>
    <t xml:space="preserve">                                                                              Review of General Procurement Practices</t>
  </si>
  <si>
    <t>All</t>
  </si>
  <si>
    <t>Other (describe in comments)</t>
  </si>
  <si>
    <t xml:space="preserve">Weekly </t>
  </si>
  <si>
    <t xml:space="preserve">Monthly </t>
  </si>
  <si>
    <t>Small Purchase Procedures (Quotes from websites, emails, catalogues, phone, etc.)</t>
  </si>
  <si>
    <t>Renewal Year 1</t>
  </si>
  <si>
    <t>Renewal Year 2</t>
  </si>
  <si>
    <t>Renewal Year 3</t>
  </si>
  <si>
    <t>Renewal Year 4</t>
  </si>
  <si>
    <t>One Year</t>
  </si>
  <si>
    <t>Less than One Year</t>
  </si>
  <si>
    <t>More than One Year (Include Length of Contract Info in Comments Section)</t>
  </si>
  <si>
    <t>Contract Duration</t>
  </si>
  <si>
    <t xml:space="preserve">Contract Duration </t>
  </si>
  <si>
    <t>Finding</t>
  </si>
  <si>
    <t>Corrective Action</t>
  </si>
  <si>
    <t xml:space="preserve"> NO </t>
  </si>
  <si>
    <t>YES/NO?</t>
  </si>
  <si>
    <t>Other (provide information in Comments)</t>
  </si>
  <si>
    <t>Not Applicable</t>
  </si>
  <si>
    <t xml:space="preserve"> General Solicitation Process</t>
  </si>
  <si>
    <t>smallpurchases</t>
  </si>
  <si>
    <t>formalsmallpurchase1</t>
  </si>
  <si>
    <t>processingsolicittype</t>
  </si>
  <si>
    <t>Solicitation Type (IFB or RFP)</t>
  </si>
  <si>
    <t>Contract type (Fixed Price or Cost Reimbursable)</t>
  </si>
  <si>
    <t>Comments &amp; Technical Assistance</t>
  </si>
  <si>
    <t>D</t>
  </si>
  <si>
    <t>Net Off Invoice</t>
  </si>
  <si>
    <t>Fee For Service</t>
  </si>
  <si>
    <t>Rebate (Refund from Manufacturer)</t>
  </si>
  <si>
    <t>processingtypes</t>
  </si>
  <si>
    <t>processingoptions</t>
  </si>
  <si>
    <t>Only one response was received</t>
  </si>
  <si>
    <t>Local Agency Procurement Review Tool: State Agency Instructions</t>
  </si>
  <si>
    <t>1 or more</t>
  </si>
  <si>
    <t>1</t>
  </si>
  <si>
    <t>1 to 3</t>
  </si>
  <si>
    <t>1 or More</t>
  </si>
  <si>
    <t xml:space="preserve">Only one response was received </t>
  </si>
  <si>
    <t>Request for Proposals</t>
  </si>
  <si>
    <t>invitation2</t>
  </si>
  <si>
    <t>Name</t>
  </si>
  <si>
    <t>Position/Title</t>
  </si>
  <si>
    <t>Contact Information</t>
  </si>
  <si>
    <t>Miscellaneous Retail Food and Supplies</t>
  </si>
  <si>
    <t>Contractor Services (ex. Menu Planning)</t>
  </si>
  <si>
    <t xml:space="preserve">Membership Fee </t>
  </si>
  <si>
    <t>micropurchase_method</t>
  </si>
  <si>
    <t>micropurchase_methods</t>
  </si>
  <si>
    <t>Food and Supplies</t>
  </si>
  <si>
    <t>Equipment/Utensils</t>
  </si>
  <si>
    <t>Other (Describe in Comments)</t>
  </si>
  <si>
    <t>Computer and IT Products/Services</t>
  </si>
  <si>
    <t>Temporary Substitute Employee Services</t>
  </si>
  <si>
    <t>smallpurchasemethods</t>
  </si>
  <si>
    <t>Total Paid to Vendor</t>
  </si>
  <si>
    <t xml:space="preserve">Contract Value </t>
  </si>
  <si>
    <t>Contract Value</t>
  </si>
  <si>
    <t>Used this Vendor for One Purchase during the Last School Year</t>
  </si>
  <si>
    <t>Used this Vendor for Multiple Purchases in the Last School Year</t>
  </si>
  <si>
    <t>numberofsmall</t>
  </si>
  <si>
    <t>One time purchase</t>
  </si>
  <si>
    <t>Multiple purchases</t>
  </si>
  <si>
    <t>numberofpurchases</t>
  </si>
  <si>
    <t>microamounts</t>
  </si>
  <si>
    <t>smallpurchaseamount</t>
  </si>
  <si>
    <t>Between $500,00 and $1 million</t>
  </si>
  <si>
    <t>Above $1 million</t>
  </si>
  <si>
    <t>formalamounts</t>
  </si>
  <si>
    <t>renewalyears</t>
  </si>
  <si>
    <t xml:space="preserve">Contract Year </t>
  </si>
  <si>
    <t>processingyear</t>
  </si>
  <si>
    <t>Monthly</t>
  </si>
  <si>
    <t>Quarterly</t>
  </si>
  <si>
    <t>Annually</t>
  </si>
  <si>
    <t>rebatefrequency</t>
  </si>
  <si>
    <t xml:space="preserve">(FOR STATE AGENCY USE ONLY)                
Select for Review? </t>
  </si>
  <si>
    <t xml:space="preserve">NO  </t>
  </si>
  <si>
    <t>Section A                 State Agency Review of SFA Solicitation/Contract Document</t>
  </si>
  <si>
    <t>State agency Procurement Selection Chart</t>
  </si>
  <si>
    <t>The State agency will:</t>
  </si>
  <si>
    <t>Purpose</t>
  </si>
  <si>
    <t>Overview of a Procurement Review</t>
  </si>
  <si>
    <t>Snapshot of a Procurement Review</t>
  </si>
  <si>
    <t>       Notify SFAs of a procurement review</t>
  </si>
  <si>
    <t>       Schedule the review</t>
  </si>
  <si>
    <t xml:space="preserve">       Require corrective action, as applicable   </t>
  </si>
  <si>
    <t xml:space="preserve">       Review and approve the corrective action, as applicable</t>
  </si>
  <si>
    <t xml:space="preserve">       Close the review</t>
  </si>
  <si>
    <t>Much like an Administrative Review, State agencies will notify SFAs of a procurement review.  Notification may be by telephone, email, letter, or a combination of all types. Notice may be 4-6 weeks or more as the State agency schedules their reviews for the school year.  Advance notice enables SFAs to:</t>
  </si>
  <si>
    <t xml:space="preserve">     o   Discuss the review with their Administrative, Business, and/or Procurement officials to prepare for the review</t>
  </si>
  <si>
    <t xml:space="preserve">     o   Complete a SFA Procurement Table of procurement processes conducted</t>
  </si>
  <si>
    <t>Once the information in the tab is complete, the SFA will:</t>
  </si>
  <si>
    <t>Using the Procurement Selection Chart, the State agency will determine:</t>
  </si>
  <si>
    <t>·       Micro-purchase Method</t>
  </si>
  <si>
    <t>·       Small purchase procedures</t>
  </si>
  <si>
    <t>·       FSMC contracts</t>
  </si>
  <si>
    <t xml:space="preserve">This step includes reviewing the SFA's procurement documentation and assessing compliance with the procurement standards.  The State agency will examine the information and answer questions in each applicable tab: </t>
  </si>
  <si>
    <t>o   General procurement standards</t>
  </si>
  <si>
    <t>o   Micro-purchase method</t>
  </si>
  <si>
    <t>o   Small Purchase Procedures</t>
  </si>
  <si>
    <t>o   Sealed Bids/Competitive Proposals</t>
  </si>
  <si>
    <t xml:space="preserve">o   FSMC </t>
  </si>
  <si>
    <t xml:space="preserve">      o   Base year (as applicable)</t>
  </si>
  <si>
    <t xml:space="preserve">      o   Renewal year</t>
  </si>
  <si>
    <t xml:space="preserve">Summary  </t>
  </si>
  <si>
    <t>o   Responses (quotes for informal procurement procedures and bids/offers for formal procurement procedures)</t>
  </si>
  <si>
    <t xml:space="preserve">o   Final contract awarded and contract notification documentation </t>
  </si>
  <si>
    <t xml:space="preserve">     o   Cost reimbursable contracts; </t>
  </si>
  <si>
    <t xml:space="preserve">     o   Contracts with amendments.  </t>
  </si>
  <si>
    <t>o   General Procurement Standards</t>
  </si>
  <si>
    <t xml:space="preserve">        o   One high value contract resulting from an Invitation for Bid, if applicable: </t>
  </si>
  <si>
    <t xml:space="preserve">        o   One amended contract, if applicable.</t>
  </si>
  <si>
    <t>solicitationtypewithother</t>
  </si>
  <si>
    <t>Yearly</t>
  </si>
  <si>
    <t>processingsolicitwithother</t>
  </si>
  <si>
    <t xml:space="preserve">Procurement Type </t>
  </si>
  <si>
    <t>processingyears</t>
  </si>
  <si>
    <t xml:space="preserve">Were any amendments made to the original contract after it was awarded? </t>
  </si>
  <si>
    <t>ADDITIONAL COMMENTS:</t>
  </si>
  <si>
    <t xml:space="preserve">ADDITIONAL COMMENTS:  </t>
  </si>
  <si>
    <t>Micropurchases</t>
  </si>
  <si>
    <t>Small Purchases</t>
  </si>
  <si>
    <t>Formal Procurement</t>
  </si>
  <si>
    <t>Food Service Mgmt</t>
  </si>
  <si>
    <t>Processing</t>
  </si>
  <si>
    <t>All are Compliant</t>
  </si>
  <si>
    <t>Not All Compliant</t>
  </si>
  <si>
    <t>CN COOPERATIVE</t>
  </si>
  <si>
    <t>AGENT</t>
  </si>
  <si>
    <t>THIRD PARTY ENTITY</t>
  </si>
  <si>
    <t>Compliant/Noncompliant</t>
  </si>
  <si>
    <r>
      <t xml:space="preserve">·       One contract for which only one </t>
    </r>
    <r>
      <rPr>
        <sz val="12"/>
        <color rgb="FFFF0000"/>
        <rFont val="Calibri"/>
        <family val="2"/>
        <scheme val="minor"/>
      </rPr>
      <t>response</t>
    </r>
    <r>
      <rPr>
        <sz val="12"/>
        <color theme="1"/>
        <rFont val="Calibri"/>
        <family val="2"/>
        <scheme val="minor"/>
      </rPr>
      <t xml:space="preserve"> was received, if applicable;</t>
    </r>
  </si>
  <si>
    <r>
      <t xml:space="preserve">        o   One high value contract resulting from a Request for Proposals (RFP), if applicable </t>
    </r>
    <r>
      <rPr>
        <sz val="12"/>
        <color rgb="FFFF0000"/>
        <rFont val="Calibri"/>
        <family val="2"/>
        <scheme val="minor"/>
      </rPr>
      <t>and/or one awarding a cost-reimbursable contract</t>
    </r>
    <r>
      <rPr>
        <sz val="12"/>
        <color theme="1"/>
        <rFont val="Calibri"/>
        <family val="2"/>
        <scheme val="minor"/>
      </rPr>
      <t xml:space="preserve">; and </t>
    </r>
  </si>
  <si>
    <t>General</t>
  </si>
  <si>
    <t>Written Code of Conduct</t>
  </si>
  <si>
    <t>Documented Procurement Procedures</t>
  </si>
  <si>
    <t>SFA Procurement Table</t>
  </si>
  <si>
    <t>Purchase orders issued</t>
  </si>
  <si>
    <t>Receipts/Invoices</t>
  </si>
  <si>
    <t>Solicitation documents (specifications, evaluation criteria)</t>
  </si>
  <si>
    <t>Bid Quotes/Responses</t>
  </si>
  <si>
    <t>Evaluation of Responses for Award</t>
  </si>
  <si>
    <t>Purchase orders</t>
  </si>
  <si>
    <t>Bidder/Offeror responses</t>
  </si>
  <si>
    <t>Evaluation of responses for contract award</t>
  </si>
  <si>
    <t>Executed contracts</t>
  </si>
  <si>
    <t>Contract renewal/addendum/amendments, if applicable (since original contract was awarded)</t>
  </si>
  <si>
    <t>Cost/price analysis documentation</t>
  </si>
  <si>
    <t xml:space="preserve">Non-competitive proposal authorization, if applicable  </t>
  </si>
  <si>
    <t>Invoices (3 vendor invoices identifying goods/services procured and amount paid)</t>
  </si>
  <si>
    <t>Solicitation documents (specifications, evaluation, contract terms, conditions, etc .)</t>
  </si>
  <si>
    <t>Evaluation Documents/Scoring Sheets</t>
  </si>
  <si>
    <t>Notification to vendors of rejected bids/offers, if applicable</t>
  </si>
  <si>
    <t>FSMC Invoices (minimum of 3 FSMC invoices)</t>
  </si>
  <si>
    <t>USDA Foods credits (total for prior year)</t>
  </si>
  <si>
    <t>Reconciliation of discounts, rebates, credits (cost reimbursable contracts only)</t>
  </si>
  <si>
    <t>FSMC invoices</t>
  </si>
  <si>
    <t>Reconciliation for USDA Foods (both fixed-price &amp; cost-reimbursable contracts)</t>
  </si>
  <si>
    <t>Reconciliation of discounts, rebates, and credits (cost-reimbursable contracts only)</t>
  </si>
  <si>
    <t>SDA template agreement/contract for processors</t>
  </si>
  <si>
    <t>SDA list of approved foods for processing</t>
  </si>
  <si>
    <t>SFA Planned assistance level (from prior school year)</t>
  </si>
  <si>
    <t>SFA Solicitation documents, vendor bids/responses, evaluations and contracts</t>
  </si>
  <si>
    <t>Contract Renewals/addenda/amendments, if applicable</t>
  </si>
  <si>
    <t>Reconciliation of USDA Foods received, if applicable</t>
  </si>
  <si>
    <t>Steps of a Procurement Review</t>
  </si>
  <si>
    <t xml:space="preserve">o   Written Code of Conduct [2 CFR 200.318(c) and 7 CFR 210.21(c)] </t>
  </si>
  <si>
    <t>a. Amending contracts to remove unallowable provisions;</t>
  </si>
  <si>
    <t>ii.Requiring a State agency pre-issuance review of proposed procurements per 7 CFR Part 210.21(c)(1).</t>
  </si>
  <si>
    <t>c. Attending State agency provided procurement training to increase knowledge of procurement standards; and</t>
  </si>
  <si>
    <t># Purchases from this vendor during the SY?</t>
  </si>
  <si>
    <t>General Goods/Services Provided</t>
  </si>
  <si>
    <t>Were purchases from a third-party entity?</t>
  </si>
  <si>
    <r>
      <rPr>
        <b/>
        <sz val="12"/>
        <rFont val="Calibri"/>
        <family val="2"/>
        <scheme val="minor"/>
      </rPr>
      <t>Additional Comments:</t>
    </r>
    <r>
      <rPr>
        <sz val="12"/>
        <rFont val="Calibri"/>
        <family val="2"/>
        <scheme val="minor"/>
      </rPr>
      <t xml:space="preserve">  </t>
    </r>
  </si>
  <si>
    <t xml:space="preserve">ADDITIONAL COMMENTS: </t>
  </si>
  <si>
    <r>
      <rPr>
        <b/>
        <sz val="12"/>
        <color theme="1"/>
        <rFont val="Calibri"/>
        <family val="2"/>
        <scheme val="minor"/>
      </rPr>
      <t>ADDITIONAL COMMENTS:</t>
    </r>
    <r>
      <rPr>
        <sz val="12"/>
        <color theme="1"/>
        <rFont val="Calibri"/>
        <family val="2"/>
        <scheme val="minor"/>
      </rPr>
      <t xml:space="preserve"> </t>
    </r>
  </si>
  <si>
    <r>
      <rPr>
        <b/>
        <i/>
        <sz val="12"/>
        <color rgb="FFFF0000"/>
        <rFont val="Calibri"/>
        <family val="2"/>
        <scheme val="minor"/>
      </rPr>
      <t>SFA Instructions:</t>
    </r>
    <r>
      <rPr>
        <b/>
        <i/>
        <sz val="12"/>
        <color theme="1"/>
        <rFont val="Calibri"/>
        <family val="2"/>
        <scheme val="minor"/>
      </rPr>
      <t xml:space="preserve">  List name(s), position(s)/title(s) and contact information of those person(s) authorized by the LEA/SFA as procurement agent(s) and who is/are responsible for compliance with local, state and federal program regulations, including Child Nutrition Program requirements.  </t>
    </r>
  </si>
  <si>
    <r>
      <t xml:space="preserve">Micro &amp; Small Purchase Threshold Information:  </t>
    </r>
    <r>
      <rPr>
        <b/>
        <sz val="12"/>
        <color rgb="FFFF0000"/>
        <rFont val="Calibri"/>
        <family val="2"/>
        <scheme val="minor"/>
      </rPr>
      <t>SFA Instructions</t>
    </r>
    <r>
      <rPr>
        <b/>
        <sz val="12"/>
        <color theme="1"/>
        <rFont val="Calibri"/>
        <family val="2"/>
        <scheme val="minor"/>
      </rPr>
      <t xml:space="preserve">: </t>
    </r>
    <r>
      <rPr>
        <b/>
        <i/>
        <sz val="12"/>
        <color theme="1"/>
        <rFont val="Calibri"/>
        <family val="2"/>
        <scheme val="minor"/>
      </rPr>
      <t>Answer questions below.</t>
    </r>
  </si>
  <si>
    <r>
      <rPr>
        <b/>
        <sz val="12"/>
        <color rgb="FFFF0000"/>
        <rFont val="Calibri"/>
        <family val="2"/>
        <scheme val="minor"/>
      </rPr>
      <t>General</t>
    </r>
    <r>
      <rPr>
        <b/>
        <sz val="12"/>
        <color theme="1"/>
        <rFont val="Calibri"/>
        <family val="2"/>
        <scheme val="minor"/>
      </rPr>
      <t xml:space="preserve"> Goods/Services Provided</t>
    </r>
  </si>
  <si>
    <t>MONITORING PROCUREMENTS</t>
  </si>
  <si>
    <r>
      <t xml:space="preserve">FSMC – Base Year </t>
    </r>
    <r>
      <rPr>
        <i/>
        <sz val="11"/>
        <rFont val="Calibri"/>
        <family val="2"/>
        <scheme val="minor"/>
      </rPr>
      <t>(For State agencies reviewing the SFA-FSMC base year.  Solicitation and evaluation for FSMC(s) selected.  Executed contract is on file at State agency)</t>
    </r>
  </si>
  <si>
    <r>
      <t xml:space="preserve">FSMC – Review Year </t>
    </r>
    <r>
      <rPr>
        <i/>
        <sz val="11"/>
        <rFont val="Calibri"/>
        <family val="2"/>
        <scheme val="minor"/>
      </rPr>
      <t>(Reviews in renewal years, review executed renewal/amendments )</t>
    </r>
    <r>
      <rPr>
        <sz val="11"/>
        <rFont val="Calibri"/>
        <family val="2"/>
        <scheme val="minor"/>
      </rPr>
      <t xml:space="preserve"> Review:  above items only if not reviewed in base year.</t>
    </r>
  </si>
  <si>
    <r>
      <t xml:space="preserve">·       </t>
    </r>
    <r>
      <rPr>
        <sz val="12"/>
        <color rgb="FFFF0000"/>
        <rFont val="Calibri"/>
        <family val="2"/>
        <scheme val="minor"/>
      </rPr>
      <t>Three</t>
    </r>
    <r>
      <rPr>
        <sz val="12"/>
        <color theme="1"/>
        <rFont val="Calibri"/>
        <family val="2"/>
        <scheme val="minor"/>
      </rPr>
      <t xml:space="preserve"> additional/other contracts, prioritizing the selection of:</t>
    </r>
  </si>
  <si>
    <t>Choose vendor (s) for review with the highest dollar value of purchases.</t>
  </si>
  <si>
    <t xml:space="preserve">1 or More </t>
  </si>
  <si>
    <t>All other processing contracts:</t>
  </si>
  <si>
    <r>
      <t>Food Service Management Company (FSMC) contracts (</t>
    </r>
    <r>
      <rPr>
        <b/>
        <i/>
        <sz val="14"/>
        <color rgb="FF0066FF"/>
        <rFont val="Calibri"/>
        <family val="2"/>
        <scheme val="minor"/>
      </rPr>
      <t>Review all FSMC contracts)</t>
    </r>
  </si>
  <si>
    <r>
      <t xml:space="preserve">2) Is the SFA/LEA's  documented </t>
    </r>
    <r>
      <rPr>
        <b/>
        <sz val="12"/>
        <rFont val="Calibri"/>
        <family val="2"/>
        <scheme val="minor"/>
      </rPr>
      <t>Procurement Procedures/plan</t>
    </r>
    <r>
      <rPr>
        <sz val="12"/>
        <rFont val="Calibri"/>
        <family val="2"/>
        <scheme val="minor"/>
      </rPr>
      <t xml:space="preserve"> compliant with Federal, State and local procurement standards? [2 CFR 200.318(a)] </t>
    </r>
  </si>
  <si>
    <t xml:space="preserve">Renewal years &amp; Amendments:  Determine if any amendments were made to the contract during a renewal year.   </t>
  </si>
  <si>
    <t xml:space="preserve">Section C.  FSMC Provisions in Agreements/Contracts.  </t>
  </si>
  <si>
    <r>
      <t>Per the Procurement Selection Chart, all FSMC contracts held by an SFA must be reviewed during the State agency's local procurement review.  If the State agency is conducting an initial review of a SFA's solicitation and/or contract as part of the State agency approval process required under 7 CFR 210.16(a)(9) and 7 CFR 210.19(a)(5) (separate from this procurement review), please complete all sections in the SA PRE-APPROVAL FSMC CHECKLIST--Base Year Review workbook tab.  If the reviewer is conducting a review of an FSMC during a renewal year, the reviewer should use the FOOD SVC MANAGEMENT COMPANIES--Renewal Year Review workbook tab (</t>
    </r>
    <r>
      <rPr>
        <b/>
        <i/>
        <sz val="12"/>
        <rFont val="Calibri"/>
        <family val="2"/>
        <scheme val="minor"/>
      </rPr>
      <t>NOT this tab</t>
    </r>
    <r>
      <rPr>
        <b/>
        <sz val="12"/>
        <rFont val="Calibri"/>
        <family val="2"/>
        <scheme val="minor"/>
      </rPr>
      <t xml:space="preserve">).  </t>
    </r>
  </si>
  <si>
    <t xml:space="preserve">NOTE:  Use this tab when reviewing the base year, original solicitation and contract for State agency approval prior to contract execution and may occur for the SFA procurement review along with the review of applicable SFA procurement procedures. </t>
  </si>
  <si>
    <r>
      <t xml:space="preserve">1) Is the SFA </t>
    </r>
    <r>
      <rPr>
        <b/>
        <sz val="12"/>
        <rFont val="Calibri"/>
        <family val="2"/>
        <scheme val="minor"/>
      </rPr>
      <t xml:space="preserve">solicitation/contract compliant by include the SFA responsiblities as follows: </t>
    </r>
    <r>
      <rPr>
        <b/>
        <i/>
        <sz val="12"/>
        <rFont val="Calibri"/>
        <family val="2"/>
        <scheme val="minor"/>
      </rPr>
      <t>(in many cases, the solicitation becomes the contract when signed by both parties)</t>
    </r>
    <r>
      <rPr>
        <b/>
        <sz val="12"/>
        <rFont val="Calibri"/>
        <family val="2"/>
        <scheme val="minor"/>
      </rPr>
      <t xml:space="preserve">: </t>
    </r>
  </si>
  <si>
    <t xml:space="preserve">COMMENTS:  </t>
  </si>
  <si>
    <t>Noncompliant party</t>
  </si>
  <si>
    <t xml:space="preserve">Compliant/Noncompliant </t>
  </si>
  <si>
    <r>
      <t xml:space="preserve">     Use of group purchasing/buying organizations and/or cooperatives </t>
    </r>
    <r>
      <rPr>
        <sz val="12"/>
        <color rgb="FFFF0000"/>
        <rFont val="Calibri"/>
        <family val="2"/>
        <scheme val="minor"/>
      </rPr>
      <t>and use of a market basket analysis for evaluation of contract award.</t>
    </r>
  </si>
  <si>
    <t xml:space="preserve">This tab is NOT applicable for State agencies approved to offer cash-in-lieu of commodities </t>
  </si>
  <si>
    <r>
      <rPr>
        <b/>
        <sz val="12"/>
        <color rgb="FF00B050"/>
        <rFont val="Calibri"/>
        <family val="2"/>
        <scheme val="minor"/>
      </rPr>
      <t xml:space="preserve">[NEW] </t>
    </r>
    <r>
      <rPr>
        <b/>
        <sz val="12"/>
        <color rgb="FFFF0000"/>
        <rFont val="Calibri"/>
        <family val="2"/>
        <scheme val="minor"/>
      </rPr>
      <t xml:space="preserve"> </t>
    </r>
    <r>
      <rPr>
        <b/>
        <sz val="12"/>
        <rFont val="Calibri"/>
        <family val="2"/>
        <scheme val="minor"/>
      </rPr>
      <t>Findings, Technical Assistance and Required Corrective Actions, as applicable</t>
    </r>
  </si>
  <si>
    <t>Section B: SFA RESPONSIBILITIES:  Review the SFA responsibilities to ensure FSMC compliance with 7 CFR 210.16(a)(1-10).</t>
  </si>
  <si>
    <t xml:space="preserve">Purpose/Overview </t>
  </si>
  <si>
    <t>       Send SFAs a Procurement Table to complete and request a list of documentation needed to conduct the review</t>
  </si>
  <si>
    <r>
      <t xml:space="preserve">Processing contracts:  </t>
    </r>
    <r>
      <rPr>
        <b/>
        <sz val="14"/>
        <color rgb="FF00B050"/>
        <rFont val="Calibri"/>
        <family val="2"/>
        <scheme val="minor"/>
      </rPr>
      <t/>
    </r>
  </si>
  <si>
    <r>
      <t xml:space="preserve">Total </t>
    </r>
    <r>
      <rPr>
        <b/>
        <sz val="10.5"/>
        <color rgb="FFFF0000"/>
        <rFont val="Calibri"/>
        <family val="2"/>
        <scheme val="minor"/>
      </rPr>
      <t>#</t>
    </r>
    <r>
      <rPr>
        <b/>
        <sz val="10.5"/>
        <color theme="1"/>
        <rFont val="Calibri"/>
        <family val="2"/>
        <scheme val="minor"/>
      </rPr>
      <t xml:space="preserve"> of Vendors/Contracts     </t>
    </r>
    <r>
      <rPr>
        <sz val="10.5"/>
        <color theme="1"/>
        <rFont val="Calibri"/>
        <family val="2"/>
        <scheme val="minor"/>
      </rPr>
      <t>(auto-fills from SFA Procurement Table)</t>
    </r>
  </si>
  <si>
    <r>
      <t xml:space="preserve">Review this </t>
    </r>
    <r>
      <rPr>
        <b/>
        <sz val="10.5"/>
        <color rgb="FFFF0000"/>
        <rFont val="Calibri"/>
        <family val="2"/>
        <scheme val="minor"/>
      </rPr>
      <t>#</t>
    </r>
    <r>
      <rPr>
        <b/>
        <sz val="10.5"/>
        <color theme="1"/>
        <rFont val="Calibri"/>
        <family val="2"/>
        <scheme val="minor"/>
      </rPr>
      <t xml:space="preserve"> of vendors/contracts </t>
    </r>
  </si>
  <si>
    <r>
      <t xml:space="preserve">(Greatest total number of FSMC contracts to review: </t>
    </r>
    <r>
      <rPr>
        <b/>
        <sz val="12"/>
        <rFont val="Calibri"/>
        <family val="2"/>
        <scheme val="minor"/>
      </rPr>
      <t>All)</t>
    </r>
    <r>
      <rPr>
        <sz val="12"/>
        <rFont val="Calibri"/>
        <family val="2"/>
        <scheme val="minor"/>
      </rPr>
      <t xml:space="preserve"> </t>
    </r>
    <r>
      <rPr>
        <b/>
        <sz val="12"/>
        <color rgb="FF00B050"/>
        <rFont val="Calibri"/>
        <family val="2"/>
        <scheme val="minor"/>
      </rPr>
      <t/>
    </r>
  </si>
  <si>
    <r>
      <t>If  SFA = this total  # Vendors/contracts        (</t>
    </r>
    <r>
      <rPr>
        <sz val="10.5"/>
        <rFont val="Calibri"/>
        <family val="2"/>
        <scheme val="minor"/>
      </rPr>
      <t>by procurement type</t>
    </r>
    <r>
      <rPr>
        <sz val="10.5"/>
        <color theme="1"/>
        <rFont val="Calibri"/>
        <family val="2"/>
        <scheme val="minor"/>
      </rPr>
      <t>)</t>
    </r>
  </si>
  <si>
    <t>MATT:  dropdowns:  yes or no</t>
  </si>
  <si>
    <t xml:space="preserve">By self-certifying, I attest that my procurement procedures comply with all Federal Program and government-wide procurement standards and Federal procurement policies.  Federal procurement standards are found in 7 CFR 210.21 and 2 CFR 200.317-.326.  I understand that my procurement procedures may be reviewed by either the State agency or FNS to ensure compliance with procurement requirements.  </t>
  </si>
  <si>
    <t>POTENTIAL ADDITION</t>
  </si>
  <si>
    <r>
      <t xml:space="preserve">Food Service Management Company Base Year Review </t>
    </r>
    <r>
      <rPr>
        <b/>
        <sz val="14"/>
        <color rgb="FF00B050"/>
        <rFont val="Calibri"/>
        <family val="2"/>
        <scheme val="minor"/>
      </rPr>
      <t xml:space="preserve">(FOR USE IN REVIEWING AN ORIGINAL SOLICITATION) </t>
    </r>
  </si>
  <si>
    <t>DONE</t>
  </si>
  <si>
    <t>Compliant</t>
  </si>
  <si>
    <t>Non-compliant</t>
  </si>
  <si>
    <t>No Group Entity/Not applicable</t>
  </si>
  <si>
    <t>No amendments were made or State agency prior approval was obtained</t>
  </si>
  <si>
    <t>Yes, amendments were made without State agency prior approval</t>
  </si>
  <si>
    <t xml:space="preserve"> Yes, a material  change was made requiring a new solicitation</t>
  </si>
  <si>
    <t xml:space="preserve"> No, a material change was not made</t>
  </si>
  <si>
    <t>Compliant/Non-Compliant</t>
  </si>
  <si>
    <t xml:space="preserve">Total Paid to 3rd party/Vendor </t>
  </si>
  <si>
    <t xml:space="preserve">Was this vendor/contract obtained through a CN Coop/Agent/Third-Party Entity?  </t>
  </si>
  <si>
    <t>Solicitation documents (solicitations, evaluations, contracts, etc.)</t>
  </si>
  <si>
    <t xml:space="preserve">     o   Provide procurement documentation of purchases from awarded vendor selected by the State on which the review will be conducted. See checklist at the end of the instructions.</t>
  </si>
  <si>
    <t xml:space="preserve">Once the State agency notifies and communicates the scheduled review, they may send a SFA Procurement table for completion by the SFA, a request for information for their completion of the table, and confirm if the review will be conducted off-site, on-site, or both.  </t>
  </si>
  <si>
    <r>
      <t xml:space="preserve">     Dollar value of the SFA </t>
    </r>
    <r>
      <rPr>
        <sz val="12"/>
        <color rgb="FFFF0000"/>
        <rFont val="Calibri"/>
        <family val="2"/>
        <scheme val="minor"/>
      </rPr>
      <t xml:space="preserve">micro-and </t>
    </r>
    <r>
      <rPr>
        <sz val="12"/>
        <color theme="1"/>
        <rFont val="Calibri"/>
        <family val="2"/>
        <scheme val="minor"/>
      </rPr>
      <t xml:space="preserve">small purchase thresholds and </t>
    </r>
    <r>
      <rPr>
        <sz val="12"/>
        <color rgb="FFFF0000"/>
        <rFont val="Calibri"/>
        <family val="2"/>
        <scheme val="minor"/>
      </rPr>
      <t>State agency micro and small purchase thresholds</t>
    </r>
    <r>
      <rPr>
        <sz val="12"/>
        <color theme="1"/>
        <rFont val="Calibri"/>
        <family val="2"/>
        <scheme val="minor"/>
      </rPr>
      <t>.</t>
    </r>
  </si>
  <si>
    <t xml:space="preserve">The State agency will request copies of documentation to support procurement activities:  </t>
  </si>
  <si>
    <t>o   Small purchase procedures</t>
  </si>
  <si>
    <r>
      <t>[NEW]</t>
    </r>
    <r>
      <rPr>
        <sz val="11"/>
        <color rgb="FF00B050"/>
        <rFont val="Calibri"/>
        <family val="2"/>
        <scheme val="minor"/>
      </rPr>
      <t xml:space="preserve">  </t>
    </r>
    <r>
      <rPr>
        <b/>
        <sz val="11"/>
        <color rgb="FF000000"/>
        <rFont val="Calibri"/>
        <family val="2"/>
        <scheme val="minor"/>
      </rPr>
      <t>CHECKLIST OF DOCUMENTS THAT MAY BE REQUIRED TO CONDUCT A PROCUREMENT REVIEW.</t>
    </r>
    <r>
      <rPr>
        <sz val="11"/>
        <color rgb="FF000000"/>
        <rFont val="Calibri"/>
        <family val="2"/>
        <scheme val="minor"/>
      </rPr>
      <t xml:space="preserve">  </t>
    </r>
  </si>
  <si>
    <r>
      <t>ü</t>
    </r>
    <r>
      <rPr>
        <b/>
        <sz val="10"/>
        <color rgb="FF000000"/>
        <rFont val="Calibri"/>
        <family val="2"/>
      </rPr>
      <t xml:space="preserve"> Sent</t>
    </r>
  </si>
  <si>
    <t>Vendor Paid List/Summary of Total Expenditures by Vendor Report: nonprofit food service account only)</t>
  </si>
  <si>
    <t>Micro-purchases (Vendors selected for review)</t>
  </si>
  <si>
    <r>
      <t>•</t>
    </r>
    <r>
      <rPr>
        <sz val="7"/>
        <color rgb="FF000000"/>
        <rFont val="Times New Roman"/>
        <family val="1"/>
      </rPr>
      <t xml:space="preserve">         </t>
    </r>
    <r>
      <rPr>
        <sz val="10"/>
        <color rgb="FF000000"/>
        <rFont val="Calibri"/>
        <family val="2"/>
      </rPr>
      <t>Purchase orders issued</t>
    </r>
  </si>
  <si>
    <r>
      <t>•</t>
    </r>
    <r>
      <rPr>
        <sz val="7"/>
        <color rgb="FF000000"/>
        <rFont val="Times New Roman"/>
        <family val="1"/>
      </rPr>
      <t xml:space="preserve">         </t>
    </r>
    <r>
      <rPr>
        <sz val="10"/>
        <color rgb="FF000000"/>
        <rFont val="Calibri"/>
        <family val="2"/>
      </rPr>
      <t>Receipts/Invoices</t>
    </r>
  </si>
  <si>
    <r>
      <t>•</t>
    </r>
    <r>
      <rPr>
        <sz val="7"/>
        <color rgb="FF000000"/>
        <rFont val="Times New Roman"/>
        <family val="1"/>
      </rPr>
      <t xml:space="preserve">         </t>
    </r>
    <r>
      <rPr>
        <sz val="10"/>
        <color rgb="FF000000"/>
        <rFont val="Calibri"/>
        <family val="2"/>
      </rPr>
      <t>Solicitation documents (specifications, evaluation criteria)</t>
    </r>
  </si>
  <si>
    <r>
      <t>•</t>
    </r>
    <r>
      <rPr>
        <sz val="7"/>
        <color rgb="FF000000"/>
        <rFont val="Times New Roman"/>
        <family val="1"/>
      </rPr>
      <t xml:space="preserve">         </t>
    </r>
    <r>
      <rPr>
        <sz val="10"/>
        <color rgb="FF000000"/>
        <rFont val="Calibri"/>
        <family val="2"/>
      </rPr>
      <t>Bid Quotes/Responses</t>
    </r>
  </si>
  <si>
    <r>
      <t>•</t>
    </r>
    <r>
      <rPr>
        <sz val="7"/>
        <color rgb="FF000000"/>
        <rFont val="Times New Roman"/>
        <family val="1"/>
      </rPr>
      <t xml:space="preserve">         </t>
    </r>
    <r>
      <rPr>
        <sz val="10"/>
        <color rgb="FF000000"/>
        <rFont val="Calibri"/>
        <family val="2"/>
      </rPr>
      <t>Evaluation of Responses for Award</t>
    </r>
  </si>
  <si>
    <r>
      <t>•</t>
    </r>
    <r>
      <rPr>
        <sz val="7"/>
        <color rgb="FF000000"/>
        <rFont val="Times New Roman"/>
        <family val="1"/>
      </rPr>
      <t xml:space="preserve">         </t>
    </r>
    <r>
      <rPr>
        <sz val="10"/>
        <color rgb="FF000000"/>
        <rFont val="Calibri"/>
        <family val="2"/>
      </rPr>
      <t>Purchase orders</t>
    </r>
  </si>
  <si>
    <r>
      <t>•</t>
    </r>
    <r>
      <rPr>
        <sz val="7"/>
        <color rgb="FF000000"/>
        <rFont val="Times New Roman"/>
        <family val="1"/>
      </rPr>
      <t xml:space="preserve">         </t>
    </r>
    <r>
      <rPr>
        <sz val="10"/>
        <color rgb="FF000000"/>
        <rFont val="Calibri"/>
        <family val="2"/>
      </rPr>
      <t>Solicitation documents (solicitations, evaluations, contracts, etc.)</t>
    </r>
  </si>
  <si>
    <r>
      <t>•</t>
    </r>
    <r>
      <rPr>
        <sz val="7"/>
        <color rgb="FF000000"/>
        <rFont val="Times New Roman"/>
        <family val="1"/>
      </rPr>
      <t xml:space="preserve">         </t>
    </r>
    <r>
      <rPr>
        <sz val="10"/>
        <color rgb="FF000000"/>
        <rFont val="Calibri"/>
        <family val="2"/>
      </rPr>
      <t>Bidder/Offeror responses</t>
    </r>
  </si>
  <si>
    <r>
      <t>•</t>
    </r>
    <r>
      <rPr>
        <sz val="7"/>
        <color rgb="FF000000"/>
        <rFont val="Times New Roman"/>
        <family val="1"/>
      </rPr>
      <t xml:space="preserve">         </t>
    </r>
    <r>
      <rPr>
        <sz val="10"/>
        <color rgb="FF000000"/>
        <rFont val="Calibri"/>
        <family val="2"/>
      </rPr>
      <t>Evaluation of responses for contract award</t>
    </r>
  </si>
  <si>
    <r>
      <t>•</t>
    </r>
    <r>
      <rPr>
        <sz val="7"/>
        <color rgb="FF000000"/>
        <rFont val="Times New Roman"/>
        <family val="1"/>
      </rPr>
      <t xml:space="preserve">         </t>
    </r>
    <r>
      <rPr>
        <sz val="10"/>
        <color rgb="FF000000"/>
        <rFont val="Calibri"/>
        <family val="2"/>
      </rPr>
      <t>Executed contracts Contract renewal/addendum/amendments, if applicable (since original contract was awarded)</t>
    </r>
  </si>
  <si>
    <r>
      <t>•</t>
    </r>
    <r>
      <rPr>
        <sz val="7"/>
        <color rgb="FF000000"/>
        <rFont val="Times New Roman"/>
        <family val="1"/>
      </rPr>
      <t xml:space="preserve">         </t>
    </r>
    <r>
      <rPr>
        <sz val="10"/>
        <color rgb="FF000000"/>
        <rFont val="Calibri"/>
        <family val="2"/>
      </rPr>
      <t>Cost/price analysis documentation</t>
    </r>
  </si>
  <si>
    <r>
      <t>•</t>
    </r>
    <r>
      <rPr>
        <sz val="7"/>
        <color rgb="FF000000"/>
        <rFont val="Times New Roman"/>
        <family val="1"/>
      </rPr>
      <t xml:space="preserve">         </t>
    </r>
    <r>
      <rPr>
        <sz val="10"/>
        <color rgb="FF000000"/>
        <rFont val="Calibri"/>
        <family val="2"/>
      </rPr>
      <t xml:space="preserve">Non-competitive proposal authorization, if applicable  </t>
    </r>
  </si>
  <si>
    <r>
      <t>•</t>
    </r>
    <r>
      <rPr>
        <sz val="7"/>
        <color rgb="FF000000"/>
        <rFont val="Times New Roman"/>
        <family val="1"/>
      </rPr>
      <t xml:space="preserve">         </t>
    </r>
    <r>
      <rPr>
        <sz val="10"/>
        <color rgb="FF000000"/>
        <rFont val="Calibri"/>
        <family val="2"/>
      </rPr>
      <t>Invoices (3 vendor invoices identifying goods/services procured and amount paid)</t>
    </r>
  </si>
  <si>
    <r>
      <t>•</t>
    </r>
    <r>
      <rPr>
        <sz val="7"/>
        <color rgb="FF000000"/>
        <rFont val="Times New Roman"/>
        <family val="1"/>
      </rPr>
      <t xml:space="preserve">         </t>
    </r>
    <r>
      <rPr>
        <sz val="10"/>
        <color rgb="FF000000"/>
        <rFont val="Calibri"/>
        <family val="2"/>
      </rPr>
      <t>Solicitation documents (specifications, evaluation, contract terms, conditions, etc.)</t>
    </r>
  </si>
  <si>
    <r>
      <t>•</t>
    </r>
    <r>
      <rPr>
        <sz val="7"/>
        <color rgb="FF000000"/>
        <rFont val="Times New Roman"/>
        <family val="1"/>
      </rPr>
      <t xml:space="preserve">         </t>
    </r>
    <r>
      <rPr>
        <sz val="10"/>
        <color rgb="FF000000"/>
        <rFont val="Calibri"/>
        <family val="2"/>
      </rPr>
      <t>Evaluation Documents/Scoring Sheets</t>
    </r>
  </si>
  <si>
    <r>
      <t>•</t>
    </r>
    <r>
      <rPr>
        <sz val="7"/>
        <color rgb="FF000000"/>
        <rFont val="Times New Roman"/>
        <family val="1"/>
      </rPr>
      <t xml:space="preserve">         </t>
    </r>
    <r>
      <rPr>
        <sz val="10"/>
        <color rgb="FF000000"/>
        <rFont val="Calibri"/>
        <family val="2"/>
      </rPr>
      <t>Notification to vendors of rejected bids/offers, if applicable</t>
    </r>
  </si>
  <si>
    <r>
      <t>•</t>
    </r>
    <r>
      <rPr>
        <sz val="7"/>
        <color rgb="FF000000"/>
        <rFont val="Times New Roman"/>
        <family val="1"/>
      </rPr>
      <t xml:space="preserve">         </t>
    </r>
    <r>
      <rPr>
        <sz val="10"/>
        <color rgb="FF000000"/>
        <rFont val="Calibri"/>
        <family val="2"/>
      </rPr>
      <t>FSMC Invoices (minimum of 3 FSMC invoices)</t>
    </r>
  </si>
  <si>
    <r>
      <t>•</t>
    </r>
    <r>
      <rPr>
        <sz val="7"/>
        <color rgb="FF000000"/>
        <rFont val="Times New Roman"/>
        <family val="1"/>
      </rPr>
      <t xml:space="preserve">         </t>
    </r>
    <r>
      <rPr>
        <sz val="10"/>
        <color rgb="FF000000"/>
        <rFont val="Calibri"/>
        <family val="2"/>
      </rPr>
      <t>USDA Foods credits (total for prior year)</t>
    </r>
  </si>
  <si>
    <r>
      <t>•</t>
    </r>
    <r>
      <rPr>
        <sz val="7"/>
        <color rgb="FF000000"/>
        <rFont val="Times New Roman"/>
        <family val="1"/>
      </rPr>
      <t xml:space="preserve">         </t>
    </r>
    <r>
      <rPr>
        <sz val="10"/>
        <color rgb="FF000000"/>
        <rFont val="Calibri"/>
        <family val="2"/>
      </rPr>
      <t>Reconciliation of discounts, rebates, credits (cost reimbursable contracts only)</t>
    </r>
  </si>
  <si>
    <r>
      <t>·</t>
    </r>
    <r>
      <rPr>
        <sz val="7"/>
        <color rgb="FF000000"/>
        <rFont val="Times New Roman"/>
        <family val="1"/>
      </rPr>
      <t xml:space="preserve">         </t>
    </r>
    <r>
      <rPr>
        <sz val="10"/>
        <color rgb="FF000000"/>
        <rFont val="Calibri"/>
        <family val="2"/>
      </rPr>
      <t>SDA template agreement/contract for processors</t>
    </r>
  </si>
  <si>
    <r>
      <t>·</t>
    </r>
    <r>
      <rPr>
        <sz val="7"/>
        <color rgb="FF000000"/>
        <rFont val="Times New Roman"/>
        <family val="1"/>
      </rPr>
      <t xml:space="preserve">         </t>
    </r>
    <r>
      <rPr>
        <sz val="10"/>
        <color rgb="FF000000"/>
        <rFont val="Calibri"/>
        <family val="2"/>
      </rPr>
      <t>SDA list of approved foods for processing</t>
    </r>
  </si>
  <si>
    <r>
      <t>·</t>
    </r>
    <r>
      <rPr>
        <sz val="7"/>
        <color rgb="FF000000"/>
        <rFont val="Times New Roman"/>
        <family val="1"/>
      </rPr>
      <t xml:space="preserve">         </t>
    </r>
    <r>
      <rPr>
        <sz val="10"/>
        <color rgb="FF000000"/>
        <rFont val="Calibri"/>
        <family val="2"/>
      </rPr>
      <t>SFA Planned assistance level (from prior school year)</t>
    </r>
  </si>
  <si>
    <r>
      <t>·</t>
    </r>
    <r>
      <rPr>
        <sz val="7"/>
        <color rgb="FF000000"/>
        <rFont val="Times New Roman"/>
        <family val="1"/>
      </rPr>
      <t xml:space="preserve">         </t>
    </r>
    <r>
      <rPr>
        <sz val="10"/>
        <color rgb="FF000000"/>
        <rFont val="Calibri"/>
        <family val="2"/>
      </rPr>
      <t>SFA Solicitation documents, vendor bids/responses, evaluations and contracts</t>
    </r>
  </si>
  <si>
    <r>
      <t>·</t>
    </r>
    <r>
      <rPr>
        <sz val="7"/>
        <color rgb="FF000000"/>
        <rFont val="Times New Roman"/>
        <family val="1"/>
      </rPr>
      <t xml:space="preserve">         </t>
    </r>
    <r>
      <rPr>
        <sz val="10"/>
        <color rgb="FF000000"/>
        <rFont val="Calibri"/>
        <family val="2"/>
      </rPr>
      <t>Contract Renewals/addenda/amendments, if applicable</t>
    </r>
  </si>
  <si>
    <r>
      <t>·</t>
    </r>
    <r>
      <rPr>
        <sz val="7"/>
        <color rgb="FF000000"/>
        <rFont val="Times New Roman"/>
        <family val="1"/>
      </rPr>
      <t xml:space="preserve">         </t>
    </r>
    <r>
      <rPr>
        <sz val="10"/>
        <color rgb="FF000000"/>
        <rFont val="Calibri"/>
        <family val="2"/>
      </rPr>
      <t>Reconciliation of USDA Foods received, if applicable</t>
    </r>
  </si>
  <si>
    <r>
      <t>Group Purchasing Entity Type (</t>
    </r>
    <r>
      <rPr>
        <b/>
        <sz val="12"/>
        <color rgb="FFFF0000"/>
        <rFont val="Calibri"/>
        <family val="2"/>
        <scheme val="minor"/>
      </rPr>
      <t>All CN, Agent, 3rd Party)</t>
    </r>
  </si>
  <si>
    <r>
      <t xml:space="preserve">[NEW] </t>
    </r>
    <r>
      <rPr>
        <b/>
        <sz val="12"/>
        <rFont val="Calibri"/>
        <family val="2"/>
        <scheme val="minor"/>
      </rPr>
      <t xml:space="preserve">Market Basket Analysis to Contract Award:  </t>
    </r>
    <r>
      <rPr>
        <sz val="12"/>
        <rFont val="Calibri"/>
        <family val="2"/>
        <scheme val="minor"/>
      </rPr>
      <t>(See State agency instructions)</t>
    </r>
  </si>
  <si>
    <r>
      <rPr>
        <b/>
        <sz val="12"/>
        <color rgb="FF00B050"/>
        <rFont val="Calibri"/>
        <family val="2"/>
        <scheme val="minor"/>
      </rPr>
      <t xml:space="preserve">[NEW] </t>
    </r>
    <r>
      <rPr>
        <b/>
        <sz val="12"/>
        <rFont val="Calibri"/>
        <family val="2"/>
        <scheme val="minor"/>
      </rPr>
      <t xml:space="preserve">Group Purchasing Entities, when identified: </t>
    </r>
    <r>
      <rPr>
        <sz val="12"/>
        <rFont val="Calibri"/>
        <family val="2"/>
        <scheme val="minor"/>
      </rPr>
      <t>(See State agency instructions)</t>
    </r>
  </si>
  <si>
    <t>A</t>
  </si>
  <si>
    <t>[NEW]</t>
  </si>
  <si>
    <t>NEW</t>
  </si>
  <si>
    <t>[NEW] KI</t>
  </si>
  <si>
    <t>[REWORD]</t>
  </si>
  <si>
    <t>KEY INDICATORS</t>
  </si>
  <si>
    <r>
      <rPr>
        <b/>
        <sz val="12"/>
        <color rgb="FF00B050"/>
        <rFont val="Calibri"/>
        <family val="2"/>
        <scheme val="minor"/>
      </rPr>
      <t xml:space="preserve">[NEW] </t>
    </r>
    <r>
      <rPr>
        <b/>
        <sz val="12"/>
        <rFont val="Calibri"/>
        <family val="2"/>
        <scheme val="minor"/>
      </rPr>
      <t xml:space="preserve"> State agency instructions: </t>
    </r>
    <r>
      <rPr>
        <sz val="12"/>
        <rFont val="Calibri"/>
        <family val="2"/>
        <scheme val="minor"/>
      </rPr>
      <t xml:space="preserve"> </t>
    </r>
    <r>
      <rPr>
        <i/>
        <sz val="12"/>
        <rFont val="Calibri"/>
        <family val="2"/>
        <scheme val="minor"/>
      </rPr>
      <t xml:space="preserve">A complete review of processing of USDA Foods includes answering the questions in this tab AND in the applicable procurement tabs:  small purchase procedures and formal procurement.  </t>
    </r>
  </si>
  <si>
    <r>
      <t xml:space="preserve">Steps to Conducting a Procurement Review. </t>
    </r>
    <r>
      <rPr>
        <sz val="12"/>
        <color theme="1"/>
        <rFont val="Calibri"/>
        <family val="2"/>
        <scheme val="minor"/>
      </rPr>
      <t xml:space="preserve"> Each step is intended to successfully guide the State agency through the review process to assess the SFA's procedures to maximize full and open competition.  The State agency will:</t>
    </r>
  </si>
  <si>
    <r>
      <rPr>
        <b/>
        <i/>
        <sz val="12"/>
        <rFont val="Calibri"/>
        <family val="2"/>
        <scheme val="minor"/>
      </rPr>
      <t xml:space="preserve">NOTE: </t>
    </r>
    <r>
      <rPr>
        <i/>
        <sz val="12"/>
        <rFont val="Calibri"/>
        <family val="2"/>
        <scheme val="minor"/>
      </rPr>
      <t xml:space="preserve"> The State agency may identify vendors paid from the nonprofit school food service account for services such as pest control, utilities, trash collection, etc. If the SFA is charged these costs directly rather than indirectly, the SA may be selected for a procurement review.” Determination for selection in a procurement review is not based on whether or not the SFA or Local Educational Agency (LEA) conducted the procurement procedures, rather the determination is based on whether the cost (pest control, trash, maintenance, etc.) is an indirect cost vs a direct cost.  For additional questions on indirect cost vs direct cost, refer to SP60-2016 Indirect Cost Guidance, dated September 30, 2016 </t>
    </r>
    <r>
      <rPr>
        <i/>
        <sz val="12"/>
        <color rgb="FFFF0000"/>
        <rFont val="Calibri"/>
        <family val="2"/>
        <scheme val="minor"/>
      </rPr>
      <t>https://www.fns.usda.gov/indirect-cost-guidance.</t>
    </r>
  </si>
  <si>
    <t>The State agency may email the entire Tool to the SFA, only the SFA instructions, or only the SFA Procurement Table as a separate Excel document.  Please note that if the State agency sends only the SFA instructions and SFA Procurement Table to an SFA, the State agency will need to input the information it receives from the SFA into the Tool itself to prepopulate selected fields throughout the review instrument.</t>
  </si>
  <si>
    <t xml:space="preserve">The one column in the SFA Procurement Table that should not be used by the SFA is the State agency “Select for Review” column.  This column is for State agency use only.  </t>
  </si>
  <si>
    <t xml:space="preserve">·       Review the information provided in the SFA Procurement Table; and </t>
  </si>
  <si>
    <r>
      <t>·      </t>
    </r>
    <r>
      <rPr>
        <b/>
        <sz val="12"/>
        <color rgb="FF00B050"/>
        <rFont val="Calibri"/>
        <family val="2"/>
        <scheme val="minor"/>
      </rPr>
      <t xml:space="preserve"> [NEW]</t>
    </r>
    <r>
      <rPr>
        <sz val="12"/>
        <color theme="1"/>
        <rFont val="Calibri"/>
        <family val="2"/>
        <scheme val="minor"/>
      </rPr>
      <t xml:space="preserve"> One sealed bid/request for proposal that used a Market Basket Analysis Evaluation for Contract Award, if designated in the SFA Procurement Table; </t>
    </r>
  </si>
  <si>
    <r>
      <t xml:space="preserve">·       </t>
    </r>
    <r>
      <rPr>
        <b/>
        <sz val="12"/>
        <color rgb="FF00B050"/>
        <rFont val="Calibri"/>
        <family val="2"/>
        <scheme val="minor"/>
      </rPr>
      <t xml:space="preserve">[NEW] </t>
    </r>
    <r>
      <rPr>
        <sz val="12"/>
        <color theme="1"/>
        <rFont val="Calibri"/>
        <family val="2"/>
        <scheme val="minor"/>
      </rPr>
      <t xml:space="preserve">One sealed bid/request for proposal where a Third party entity contract was awarded, if designated in the SFA Procurement Table; </t>
    </r>
  </si>
  <si>
    <r>
      <t xml:space="preserve">In summary, when the SFA uses all procurement methods: micro-purchase </t>
    </r>
    <r>
      <rPr>
        <sz val="12"/>
        <color rgb="FFFF0000"/>
        <rFont val="Calibri"/>
        <family val="2"/>
        <scheme val="minor"/>
      </rPr>
      <t>procedures,</t>
    </r>
    <r>
      <rPr>
        <sz val="12"/>
        <color theme="1"/>
        <rFont val="Calibri"/>
        <family val="2"/>
        <scheme val="minor"/>
      </rPr>
      <t xml:space="preserve"> small purchase procedures, formal </t>
    </r>
    <r>
      <rPr>
        <sz val="12"/>
        <color rgb="FFFF0000"/>
        <rFont val="Calibri"/>
        <family val="2"/>
        <scheme val="minor"/>
      </rPr>
      <t>procedures, and conducts the procurement of processors for USDA Foods</t>
    </r>
    <r>
      <rPr>
        <sz val="12"/>
        <color theme="1"/>
        <rFont val="Calibri"/>
        <family val="2"/>
        <scheme val="minor"/>
      </rPr>
      <t xml:space="preserve">, the State will review the SFA’s procurement procedures by the </t>
    </r>
    <r>
      <rPr>
        <sz val="12"/>
        <color rgb="FFFF0000"/>
        <rFont val="Calibri"/>
        <family val="2"/>
        <scheme val="minor"/>
      </rPr>
      <t>applicable procurement method using the dropdown response “select for review” in the State Agency Review column in the SFA Procurement Table (see last column in each procurement method). The State agency will then select from each category the appropriate number of contracts as identified on the Procurement Selection Chart tab.</t>
    </r>
    <r>
      <rPr>
        <sz val="12"/>
        <color theme="1"/>
        <rFont val="Calibri"/>
        <family val="2"/>
        <scheme val="minor"/>
      </rPr>
      <t xml:space="preserve">  State agencies may select more contracts to review than required by the Procurement Selection Chart but they may not select fewer than the minimum number of contracts as detailed in the Chart.  If the SFA conducts more procurement activities than space allows in the SFA Procurement Table, as stated above, contracts selected for review in those additional rows/columns may not pre-populate in the correct review tab.  If the State agency chooses to review these additional contracts, the State agency must add these additional vendors in the corresponding review tab as the information will not pre-populate into the applicable tab. To conduct the procurement review, the State agency will answer the questions in each procurement method tab using the drop-down box.  </t>
    </r>
    <r>
      <rPr>
        <sz val="12"/>
        <color rgb="FFFF0000"/>
        <rFont val="Calibri"/>
        <family val="2"/>
        <scheme val="minor"/>
      </rPr>
      <t xml:space="preserve">The procurement method and a brief description of each is included below: </t>
    </r>
  </si>
  <si>
    <t xml:space="preserve">     o   Contracts worth a greater dollar value;</t>
  </si>
  <si>
    <r>
      <rPr>
        <sz val="12"/>
        <color rgb="FF00B050"/>
        <rFont val="Calibri"/>
        <family val="2"/>
        <scheme val="minor"/>
      </rPr>
      <t xml:space="preserve">[NEW] </t>
    </r>
    <r>
      <rPr>
        <sz val="12"/>
        <color theme="1"/>
        <rFont val="Calibri"/>
        <family val="2"/>
        <scheme val="minor"/>
      </rPr>
      <t xml:space="preserve"> When reviewing SFA procured contracts for processed end products using USDA Foods, the State agency will use 2 tabs: the processing tab and the applicable small purchase procedures OR formal procedures tab.  Instructions to use both tabs are found at the end of each tab as a reminder to use both tabs, as applicable.</t>
    </r>
  </si>
  <si>
    <t>·   Responses to SFA solicitations (vendor quotes for informal procurement procedures and vendor bids/offers for formal procurement procedures)</t>
  </si>
  <si>
    <t>· Evaluation and scoring results used to select the contractor (for competitive proposals – RFPs)</t>
  </si>
  <si>
    <t xml:space="preserve">· Final contracts awarded and contract notification documentation </t>
  </si>
  <si>
    <t>·  Amended contract language, as applicable.  (The State agency will need to review amended contracts to determine if a material change was created by an amendment.)</t>
  </si>
  <si>
    <t>·  Value of USDA Food Planned Assistance Levels (PALs) for processing contracts for self-operating SFAs and for SFAs with a FSMC.</t>
  </si>
  <si>
    <r>
      <t xml:space="preserve">o        Base year (as applicable) </t>
    </r>
    <r>
      <rPr>
        <b/>
        <sz val="12"/>
        <color rgb="FF00B050"/>
        <rFont val="Calibri"/>
        <family val="2"/>
        <scheme val="minor"/>
      </rPr>
      <t xml:space="preserve"> [NEW]  </t>
    </r>
    <r>
      <rPr>
        <sz val="12"/>
        <rFont val="Calibri"/>
        <family val="2"/>
        <scheme val="minor"/>
      </rPr>
      <t>This tab is not substantially changed as it continues to be for use when reviewing the original contract awarded as a result of the solicitation for an FSMC.  However, the State agency will review the SFA procurement process (including all supporting documentation) prior to the approving the contract for execution.  A review of all SFA procurement processes may be accomplished at this time to complete this SFA’s procurement review as part of the State's plan for procurement reviews.  (See 7 CFR 210.19(a)(5))</t>
    </r>
  </si>
  <si>
    <r>
      <t xml:space="preserve">o        Renewal year - </t>
    </r>
    <r>
      <rPr>
        <b/>
        <sz val="12"/>
        <color rgb="FF00B050"/>
        <rFont val="Calibri"/>
        <family val="2"/>
        <scheme val="minor"/>
      </rPr>
      <t xml:space="preserve">[NEW] </t>
    </r>
    <r>
      <rPr>
        <sz val="12"/>
        <rFont val="Calibri"/>
        <family val="2"/>
        <scheme val="minor"/>
      </rPr>
      <t>For use when reviewing the SFA as required by 7 CFR 210.19(a)(5) (once during each three-year period).  This review tab is changed to focus primarily on the SFA responsibilities of monitoring the FSMC including the return of discounts, rebates, and credits in cost-reimbursable contracts and USDA Foods credits to the nonprofit food service account for both fixed-price and cost-reimbursable contracts.   This change may reduce State agency burden with SFA procurement reviews. The State agency will answer the questions in the FSMC tab AND review invoices submitted by the FSMC. Also, for fixed-price FSMC contracts, the State agency will determine the per meal cost established by the contract and if the payment method is being followed. For example, if the contract established the payment method as the actual number of reimbursable meals claimed/month plus meal equivalents or a la carte sales and other Program and non-program meals x the per meal cost rate, the Claim for Reimbursement and meal equivalent rate should be cross-checked to ensure the actual number of meals were paid as served and calculated. However, if the contract includes language allowing the SFA to pay the FSMC a monthly payment prorated based on the estimated cost of the annual contract, this is allowed as long as the SFA reconciles the actual amount owed against the amount paid prior to the end of the last payment in the contract year. This ensures the SFA is paying the actual cost of meals and meal equivalents served.</t>
    </r>
  </si>
  <si>
    <r>
      <t xml:space="preserve">o   Processing Contracts </t>
    </r>
    <r>
      <rPr>
        <b/>
        <sz val="12"/>
        <color rgb="FF00B050"/>
        <rFont val="Calibri"/>
        <family val="2"/>
        <scheme val="minor"/>
      </rPr>
      <t xml:space="preserve">-[NEW] </t>
    </r>
    <r>
      <rPr>
        <sz val="12"/>
        <color theme="1"/>
        <rFont val="Calibri"/>
        <family val="2"/>
        <scheme val="minor"/>
      </rPr>
      <t>If the State agency only uses cash-in-lieu of commodities, a review of the processing tab is not applicable.  For other State agencies, when selecting processing contracts for review, including contracts for processed end products using USDA Foods, the reviewer will use the applicable procurement methods tab, small purchase procedures or formal procurement, AND the Processing tab in the Tool.  Prompts have been added in each tab to remind the reviewer of this process.  The primary focus of this review is to ensure processors of USDA Foods are competitively procured and the SFA is receiving the planned assistance level assigned by the State Distributing Agency.</t>
    </r>
  </si>
  <si>
    <t xml:space="preserve">Overall, the State agency will: </t>
  </si>
  <si>
    <t>State agencies will contact the SFA to schedule the procurement review.   State agencies have the flexibility to schedule a procurement review at the same time as the Administrative Review, or as a separate review which the State may establish.</t>
  </si>
  <si>
    <r>
      <t xml:space="preserve">If the review will be both on-site and off-site, the State may review documentation on-site and/or off-site if needed, and conduct  </t>
    </r>
    <r>
      <rPr>
        <sz val="12"/>
        <color rgb="FFFF0000"/>
        <rFont val="Calibri"/>
        <family val="2"/>
        <scheme val="minor"/>
      </rPr>
      <t xml:space="preserve">an entrance and/or exit conference off-site or on-site, at the State agency's discretion.  </t>
    </r>
  </si>
  <si>
    <t xml:space="preserve">The number of procurement activities the SFA conducted and select the vendors using the criteria in a selection chart for each procurement method:  </t>
  </si>
  <si>
    <r>
      <rPr>
        <b/>
        <sz val="12"/>
        <color theme="1"/>
        <rFont val="Calibri"/>
        <family val="2"/>
        <scheme val="minor"/>
      </rPr>
      <t>Sealed Bid/Competitive/Formal Procurements:</t>
    </r>
    <r>
      <rPr>
        <sz val="12"/>
        <color theme="1"/>
        <rFont val="Calibri"/>
        <family val="2"/>
        <scheme val="minor"/>
      </rPr>
      <t xml:space="preserve"> Prioritize the review as follows: (1) cost reimbursable contracts; 2) contracts of greatest dollar value; 3) contracts with amendments.  Once the sample of contracts is selected using the criteria above, if the sample prioritized only one solicitation type (RFP/IFB) but the SFA uses both, select an additional RFP/IFB for review, to ensure both types are in the sample.   New questions have been added for the review of market basket analysis method of evaluation and Third party entities, when designated as used by the SFA.  </t>
    </r>
  </si>
  <si>
    <r>
      <rPr>
        <b/>
        <sz val="11"/>
        <color theme="1"/>
        <rFont val="Calibri"/>
        <family val="2"/>
        <scheme val="minor"/>
      </rPr>
      <t xml:space="preserve">FSMC tabs:  </t>
    </r>
    <r>
      <rPr>
        <sz val="11"/>
        <color theme="1"/>
        <rFont val="Calibri"/>
        <family val="2"/>
        <scheme val="minor"/>
      </rPr>
      <t>State agencies may consider reviewing FSMC contracts during the contract's base year to ensure the SFA is monitoring the FSMC contract (s) specific to credit the value of USDA Foods, the return of discounts, rebates, and credits on invoices, compliance with the cycle menu, food specifications, Buy American provision to purchase domestic foods, etc. The focus of the FSMC Tab is the review of SFA responsibilities in 7 CFR 210.16(a). Purchases made outside of the FSMC contract may be reviewed at the same time as this review or on a different review cycle, as determined by the State agency.</t>
    </r>
  </si>
  <si>
    <r>
      <t xml:space="preserve">Greatest total number of micro-purchases to review:  </t>
    </r>
    <r>
      <rPr>
        <b/>
        <sz val="12"/>
        <color rgb="FFFF0000"/>
        <rFont val="Calibri"/>
        <family val="2"/>
        <scheme val="minor"/>
      </rPr>
      <t>3</t>
    </r>
  </si>
  <si>
    <r>
      <t xml:space="preserve">STATE AGENCY INSTRUCTIONS:  </t>
    </r>
    <r>
      <rPr>
        <i/>
        <sz val="12"/>
        <rFont val="Calibri"/>
        <family val="2"/>
        <scheme val="minor"/>
      </rPr>
      <t xml:space="preserve">For contracts selected for review that include processed end products using USDA Foods, the questions in the Processing Tab must be answered to complete the review of Processed USDA Foods.   </t>
    </r>
  </si>
  <si>
    <t xml:space="preserve"> Solicitation--Competitive Proposals (RFP)</t>
  </si>
  <si>
    <t>EVALUATION AND AWARD (IFB and/or RFP)</t>
  </si>
  <si>
    <r>
      <rPr>
        <b/>
        <sz val="12"/>
        <color rgb="FFFF0000"/>
        <rFont val="Calibri"/>
        <family val="2"/>
        <scheme val="minor"/>
      </rPr>
      <t>If no questions appear below, the SFA either does not contract with a FSMC or the State agency has not selected an FSMC contract for review.          Renewal Year Review</t>
    </r>
    <r>
      <rPr>
        <b/>
        <sz val="12"/>
        <color theme="1"/>
        <rFont val="Calibri"/>
        <family val="2"/>
        <scheme val="minor"/>
      </rPr>
      <t xml:space="preserve"> </t>
    </r>
    <r>
      <rPr>
        <b/>
        <sz val="12"/>
        <color rgb="FF00B050"/>
        <rFont val="Calibri"/>
        <family val="2"/>
        <scheme val="minor"/>
      </rPr>
      <t xml:space="preserve"> [NEW]</t>
    </r>
    <r>
      <rPr>
        <b/>
        <sz val="12"/>
        <color theme="1"/>
        <rFont val="Calibri"/>
        <family val="2"/>
        <scheme val="minor"/>
      </rPr>
      <t xml:space="preserve"> </t>
    </r>
    <r>
      <rPr>
        <sz val="12"/>
        <rFont val="Calibri"/>
        <family val="2"/>
        <scheme val="minor"/>
      </rPr>
      <t>Use this tab when reviewing SFAs with an FSMC at least once during each 3-year period (7 CFR 210.19(a)(5)).  This tab is intended for use by the State agency to ensure that the SFA monitors it’s FSMC for performance of contract, for the return of the value of USDA Foods to the nonprofit food service account for both fixed-price and cost-reimbursable contracts, cost of goods, and the receipt of discounts, rebates, and credits in cost-reimbursable contracts.</t>
    </r>
  </si>
  <si>
    <r>
      <t xml:space="preserve">Section D: MANAGING USDA FOODS  (NOTE:  </t>
    </r>
    <r>
      <rPr>
        <b/>
        <i/>
        <sz val="12"/>
        <rFont val="Calibri"/>
        <family val="2"/>
        <scheme val="minor"/>
      </rPr>
      <t>Obtain the SFA planned assistance level from the State Distributing Agency to answer questions below.</t>
    </r>
    <r>
      <rPr>
        <b/>
        <sz val="12"/>
        <rFont val="Calibri"/>
        <family val="2"/>
        <scheme val="minor"/>
      </rPr>
      <t>)</t>
    </r>
  </si>
  <si>
    <r>
      <t xml:space="preserve"> Section E:  CONTRACT MONITORING SECTION (REVIEW OF 3 FSMC INVOICES-  1-first invoice in original contract year and 2 invoices in current review year.  </t>
    </r>
    <r>
      <rPr>
        <sz val="12"/>
        <rFont val="Calibri"/>
        <family val="2"/>
        <scheme val="minor"/>
      </rPr>
      <t xml:space="preserve">(NOTE:  Ensure the SFA is paying the FSMC as contracted.  1st invoice paid during the original base year contract ensure SFA did not pay FSMC prior to contract approval.  Renewal year ensures SFA is paying FSMC as contracted.  Fixed price/meal contracts must be paid based on meals x rate, or cost-reimbursable based on invoiced allowable costs with discounts, rebates and credits identified on the invoice for costs to be "net" as required in the contract. If management/administrative fees are prorated based on a fixed fee/meal estimated for the annual total dollar value and paid monthly </t>
    </r>
    <r>
      <rPr>
        <b/>
        <sz val="12"/>
        <rFont val="Calibri"/>
        <family val="2"/>
        <scheme val="minor"/>
      </rPr>
      <t>this language must be included in the original solicitation and contract</t>
    </r>
    <r>
      <rPr>
        <sz val="12"/>
        <rFont val="Calibri"/>
        <family val="2"/>
        <scheme val="minor"/>
      </rPr>
      <t xml:space="preserve"> and the actual number of meals x fee rate/meal must be </t>
    </r>
    <r>
      <rPr>
        <b/>
        <sz val="12"/>
        <rFont val="Calibri"/>
        <family val="2"/>
        <scheme val="minor"/>
      </rPr>
      <t>reconciled before the last annual payment</t>
    </r>
    <r>
      <rPr>
        <sz val="12"/>
        <rFont val="Calibri"/>
        <family val="2"/>
        <scheme val="minor"/>
      </rPr>
      <t xml:space="preserve"> is made to the FSMC. Determine if the SFA is reconciling the fee/meal before the last annual payment.)  Also, ensure the value of USDA Foods received is submitted on invoices and the annual amount credited by the FSMC is reconciled with the SFAs planned assistance level assigned by the State Distributing Agency.  If a cost-reimbursable contract is used, ensure discounts, rebates, and credits are disclosed on invoices for commercial foods/supplies purchased and billed to the SFA.)</t>
    </r>
    <r>
      <rPr>
        <b/>
        <sz val="12"/>
        <rFont val="Calibri"/>
        <family val="2"/>
        <scheme val="minor"/>
      </rPr>
      <t xml:space="preserve">
</t>
    </r>
  </si>
  <si>
    <r>
      <rPr>
        <b/>
        <sz val="14"/>
        <color rgb="FF0066FF"/>
        <rFont val="Calibri"/>
        <family val="2"/>
        <scheme val="minor"/>
      </rPr>
      <t>Micro purchases</t>
    </r>
    <r>
      <rPr>
        <b/>
        <sz val="12"/>
        <color theme="1"/>
        <rFont val="Calibri"/>
        <family val="2"/>
        <scheme val="minor"/>
      </rPr>
      <t xml:space="preserve"> (Individual transactions below $10,000 or most restrictive)</t>
    </r>
  </si>
  <si>
    <r>
      <rPr>
        <b/>
        <sz val="14"/>
        <color rgb="FF0066FF"/>
        <rFont val="Calibri"/>
        <family val="2"/>
        <scheme val="minor"/>
      </rPr>
      <t>Small Purchase Procedures/Informal Procurement:</t>
    </r>
    <r>
      <rPr>
        <b/>
        <sz val="12"/>
        <rFont val="Calibri"/>
        <family val="2"/>
        <scheme val="minor"/>
      </rPr>
      <t xml:space="preserve"> (</t>
    </r>
    <r>
      <rPr>
        <b/>
        <sz val="12"/>
        <color rgb="FFFF0000"/>
        <rFont val="Calibri"/>
        <family val="2"/>
        <scheme val="minor"/>
      </rPr>
      <t>Purchases below $250,000 or most restrictive threshold)</t>
    </r>
    <r>
      <rPr>
        <b/>
        <sz val="12"/>
        <rFont val="Calibri"/>
        <family val="2"/>
        <scheme val="minor"/>
      </rPr>
      <t xml:space="preserve"> </t>
    </r>
    <r>
      <rPr>
        <sz val="12"/>
        <rFont val="Calibri"/>
        <family val="2"/>
        <scheme val="minor"/>
      </rPr>
      <t>Select procurements as applicable below:</t>
    </r>
  </si>
  <si>
    <r>
      <t xml:space="preserve">[NEW] </t>
    </r>
    <r>
      <rPr>
        <b/>
        <i/>
        <sz val="12"/>
        <rFont val="Calibri"/>
        <family val="2"/>
        <scheme val="minor"/>
      </rPr>
      <t>Third Party entity (See instructiions above.)</t>
    </r>
  </si>
  <si>
    <r>
      <t xml:space="preserve">(Greatest total number of formal sealed bids/requests for proposals to review: </t>
    </r>
    <r>
      <rPr>
        <b/>
        <sz val="12"/>
        <color rgb="FFFF0000"/>
        <rFont val="Calibri"/>
        <family val="2"/>
        <scheme val="minor"/>
      </rPr>
      <t>5</t>
    </r>
  </si>
  <si>
    <r>
      <t xml:space="preserve">(Greatest total number of small purchases to review: </t>
    </r>
    <r>
      <rPr>
        <b/>
        <sz val="12"/>
        <color rgb="FFFF0000"/>
        <rFont val="Calibri"/>
        <family val="2"/>
        <scheme val="minor"/>
      </rPr>
      <t>4</t>
    </r>
  </si>
  <si>
    <t>(Greatest total number of processing contracts to review: 4</t>
  </si>
  <si>
    <r>
      <t>STATE AGENCY INSTRUCTIONS:</t>
    </r>
    <r>
      <rPr>
        <sz val="12"/>
        <rFont val="Calibri"/>
        <family val="2"/>
        <scheme val="minor"/>
      </rPr>
      <t xml:space="preserve"> Obtain copies of LEA/SFA small purchase procedures/informal procurement solicitation documents, specifications, evaluation criteria, contract and contract terms (if applicable), purchase orders, and any other documentation needed to evaluate performance such as invoices, receipts, etc. for each informal procurement selected for review. </t>
    </r>
    <r>
      <rPr>
        <b/>
        <sz val="12"/>
        <rFont val="Calibri"/>
        <family val="2"/>
        <scheme val="minor"/>
      </rPr>
      <t>RESPONSE:  YES</t>
    </r>
    <r>
      <rPr>
        <sz val="12"/>
        <rFont val="Calibri"/>
        <family val="2"/>
        <scheme val="minor"/>
      </rPr>
      <t xml:space="preserve">= Compliant; </t>
    </r>
    <r>
      <rPr>
        <b/>
        <sz val="12"/>
        <rFont val="Calibri"/>
        <family val="2"/>
        <scheme val="minor"/>
      </rPr>
      <t>NO</t>
    </r>
    <r>
      <rPr>
        <sz val="12"/>
        <rFont val="Calibri"/>
        <family val="2"/>
        <scheme val="minor"/>
      </rPr>
      <t xml:space="preserve">= Non-compliant; </t>
    </r>
    <r>
      <rPr>
        <b/>
        <sz val="12"/>
        <rFont val="Calibri"/>
        <family val="2"/>
        <scheme val="minor"/>
      </rPr>
      <t>NA</t>
    </r>
    <r>
      <rPr>
        <sz val="12"/>
        <rFont val="Calibri"/>
        <family val="2"/>
        <scheme val="minor"/>
      </rPr>
      <t xml:space="preserve">= Not applicable.  </t>
    </r>
    <r>
      <rPr>
        <b/>
        <sz val="12"/>
        <color rgb="FF00B050"/>
        <rFont val="Calibri"/>
        <family val="2"/>
        <scheme val="minor"/>
      </rPr>
      <t/>
    </r>
  </si>
  <si>
    <t xml:space="preserve">[NEW] </t>
  </si>
  <si>
    <t xml:space="preserve">[REWORD] </t>
  </si>
  <si>
    <r>
      <t xml:space="preserve">Per the Procurement Selection Chart, </t>
    </r>
    <r>
      <rPr>
        <sz val="12"/>
        <rFont val="Calibri"/>
        <family val="2"/>
        <scheme val="minor"/>
      </rPr>
      <t xml:space="preserve">if the State agency is conducting an initial review of a SFA's solicitation and/or contract as part of the State agency approval process required under 7 CFR 210.16(a)(9) and 7 CFR 210.19(a)(5) (separate from this procurement review), please complete ALL sections in the SA PRE-APPROVAL FSMC CHECKLIST--Base Year Review workbook tab (NOT this tab). The reviewer will use this FSMC tab if the review is conducted during a renewal year. [NEW] All FSMC contracts held by an SFA must be reviewed at least once during each 3 year period.
</t>
    </r>
    <r>
      <rPr>
        <b/>
        <sz val="12"/>
        <rFont val="Calibri"/>
        <family val="2"/>
        <scheme val="minor"/>
      </rPr>
      <t xml:space="preserve">
Complete ALL sections in the SA PRE-APPROVAL FSMC CHECKLIST--Base Year Review workbook tab</t>
    </r>
    <r>
      <rPr>
        <sz val="12"/>
        <rFont val="Calibri"/>
        <family val="2"/>
        <scheme val="minor"/>
      </rPr>
      <t xml:space="preserve"> </t>
    </r>
    <r>
      <rPr>
        <i/>
        <sz val="12"/>
        <rFont val="Calibri"/>
        <family val="2"/>
        <scheme val="minor"/>
      </rPr>
      <t xml:space="preserve">when reviewing for approval of a first year FSMC contract.  This tab, FOOD SVC MANAGEMENT COMPANIES--Renewal Year Review workbook tab is for use when reviewing requirements for State agency oversight once in 3 years.  Determine if the SFA is providing sufficient oversight of their FSMC contract as approved by the State agency and implemented by the SFA.  The reviewer will examine contract renewals/amendments (if any are executed after the original contract/amendment was approved by the State agency) to ensure no further amendments were made without the State agency review and approval.  </t>
    </r>
    <r>
      <rPr>
        <b/>
        <i/>
        <sz val="12"/>
        <rFont val="Calibri"/>
        <family val="2"/>
        <scheme val="minor"/>
      </rPr>
      <t>RESPONSES:  Yes = Compliant; NO= Non-compliant.  A response of not applicable is not used in this review tab.</t>
    </r>
  </si>
  <si>
    <t xml:space="preserve">[REWORD]  </t>
  </si>
  <si>
    <t xml:space="preserve">[REWORD]   </t>
  </si>
  <si>
    <t xml:space="preserve">[REWORD]    </t>
  </si>
  <si>
    <t>B</t>
  </si>
  <si>
    <t/>
  </si>
  <si>
    <t>§250.30   Processing of donated foods into end products.</t>
  </si>
  <si>
    <t>(a) Purpose of processing donated foods. Donated foods are most commonly provided to processors to process into approved end products for use in school lunch programs or other food services provided by recipient agencies. The ability to divert donated foods for processing provides recipient agencies with more options for using donated foods in their programs. For example, donated foods such as whole chickens or chicken parts may be processed into precooked grilled chicken strips for use in the National School Lunch Program. In some cases, donated foods are provided to processors to prepare meals or for repackaging. Use of a commercial facility to repackage donated foods, or to use donated foods in the preparation of meals, is considered processing in this part.</t>
  </si>
  <si>
    <t>(b) Agreement requirement. The processing of donated foods must be performed in accordance with an agreement between the processor and FNS, between the processor and the distributing agency, or, if allowed by the distributing agency, between the processor and a recipient agency or subdistributing agency. However, a processing agreement will not obligate any party to provide donated foods to a processor for processing. The agreements described below are required in addition to, not in lieu of, competitively procured contracts required in accordance with §250.31. The processing agreement must be signed by an authorized individual for the processor. The different types of processing agreements are described in this section.</t>
  </si>
  <si>
    <t>(c) National Processing Agreement. A multi-State processor must enter into a National Processing Agreement with FNS in order to process donated foods into end products in accordance with end product data schedules approved by FNS. FNS also holds and manages such processor's performance bond or letter of credit under its National Processing Agreement, in accordance with §250.32. FNS does not itself procure or purchase end products under a National Processing Agreement. A multi-State processor must also enter into a State Participation Agreement with the distributing agency in order to sell nationally approved end products in the State, in accordance with paragraph (d) of this section.</t>
  </si>
  <si>
    <t>(d) State Participation Agreement. The distributing agency must enter into a State Participation Agreement with a multi-State processor to permit the sale of end products produced under the processor's National Processing Agreement to eligible recipient agencies in the State or to directly purchase such end products. The distributing agency may include other State-specific processing requirements in its State Participation Agreement, such as the methods of end product sales permitted, in accordance with §250.36, or the use of labels attesting to fulfillment of meal pattern requirements in child nutrition programs. The distributing agency must utilize the following criteria in its selection of processors with which it enters into agreements. These criteria will be reviewed by the appropriate FNS Regional Office during the management evaluation review of the distributing agency.</t>
  </si>
  <si>
    <t>(1) The nutritional contribution provided by end products;</t>
  </si>
  <si>
    <t>(2) The marketability or acceptability of end products;</t>
  </si>
  <si>
    <t>(3) The means by which end products will be distributed;</t>
  </si>
  <si>
    <t>(4) Price competitiveness of end products and processing yields of donated foods;</t>
  </si>
  <si>
    <t>(5) Any applicable labeling requirements; and</t>
  </si>
  <si>
    <t>(6) The processor's record of ethics and integrity, and capacity to meet regulatory requirements.</t>
  </si>
  <si>
    <t>(e) In-State Processing Agreement. A distributing agency must enter into an In-State Processing Agreement with an in-State processor to process donated foods into finished end products, unless it permits recipient agencies to enter into Recipient Agency Processing Agreements for such purpose, in accordance with paragraph (f) of this section. Under an In-State Processing Agreement, the distributing agency approves end product data schedules (except red meat and poultry) submitted by the processor, holds and manages the processor's performance bond or letter of credit, in accordance with §250.32, and assures compliance with other processing requirements. The distributing agency may also purchase the finished end products for distribution to eligible recipient agencies in the State under an In-State Processing Agreement, or may permit recipient agencies to purchase such end products, in accordance with applicable procurement requirements. In the latter case, the In-State Processing Agreement is often called a “master agreement.” A distributing agency that procures end products on behalf of recipient agencies, or that limits recipient agencies' access to the procurement of specific end products through its master agreements, must utilize the following criteria in its selection of processors with which it enters into agreements. These criteria will be reviewed by the appropriate FNS Regional Office during the management evaluation review of the distributing agency.</t>
  </si>
  <si>
    <t>(f) Recipient Agency Processing Agreement. The distributing agency may permit a recipient agency to enter into an agreement with an in-State processor to process donated foods and to purchase the finished end products in accordance with a Recipient Agency Processing Agreement. A recipient agency may also enter into a Recipient Agency Processing Agreement on behalf of other recipient agencies, in accordance with an agreement between the parties. The distributing agency may also delegate a recipient agency to approve end product data schedules or select nationally approved end product data schedules, review in-State processor performance reports, manage the performance bond or letter of credit of an in-State processor, and monitor other processing activities under a Recipient Agency Processing Agreement. All such activities must be performed in accordance with the requirements of this part. All Recipient Agency Processing Agreements must be reviewed and approved by the distributing agency. All recipient agencies must utilize the following criteria in its selection of processors with which it enters into agreements:</t>
  </si>
  <si>
    <t>(g) Ensuring acceptability of end products. A distributing agency that procures end products on behalf of recipient agencies, or that otherwise limits recipient agencies' access to the procurement of specific end products, must provide for testing of end products to ensure their acceptability by recipient agencies, prior to entering into processing agreements. End products that have previously been tested, or that are otherwise determined to be acceptable, need not be tested. However, such a distributing agency must monitor product acceptability on an ongoing basis.</t>
  </si>
  <si>
    <t>(h) Prohibition against subcontracting. A processor may not assign any processing activities under its processing agreement or subcontract to another entity to perform any aspect of processing, without the specific written consent of the other party to the agreement (i.e., distributing or recipient agency, or FNS, as appropriate). The distributing agency may, for example, provide the required consent as part of its State Participation Agreement or In-State Processing Agreement with the processor.</t>
  </si>
  <si>
    <t>(i) Agreements between processors and distributors. A processor providing end products containing donated foods to a distributor must enter into a written agreement with the distributor. The agreement must reference, at a minimum, the financial liability (i.e., who must pay) for the replacement value of donated foods, not less than monthly end product sales reporting frequency, requirements under §250.11, and the applicable value pass through system to ensure that the value of donated foods and finished end products are properly credited to recipient agencies. Distributing agencies can set additional requirements.</t>
  </si>
  <si>
    <t>(j) Duration of agreements. In-State Processing Agreements and Recipient Agency Processing Agreements may be up to five years in duration. State Participation Agreements may be permanent. National Processing Agreements are permanent. Amendments to any agreements may be made, as needed, with the concurrence of both parties to the agreement. Such amendments will be effective for the duration of the agreement, unless otherwise indicated.</t>
  </si>
  <si>
    <t>return arrow Back to Top</t>
  </si>
  <si>
    <t>§250.31   Procurement requirements.</t>
  </si>
  <si>
    <t>(a) Applicability of Federal procurement requirements. Distributing and recipient agencies must comply with the requirements in 2 CFR part 200 and part 400, as applicable, in purchasing end products, distribution, or other processing services from processors. Distributing and recipient agencies may use procurement procedures that conform to applicable State or local laws and regulations, but must ensure compliance with the procurement requirements in 2 CFR part 200 and part 400, as applicable.</t>
  </si>
  <si>
    <t>(b) Required information in procurement documents. In all procurements of processed end products containing USDA donated foods, procurement documents must include the following information:</t>
  </si>
  <si>
    <t>(1) The price to be charged for the end product or other processing service;</t>
  </si>
  <si>
    <t>(2) The method of end product sales that will be utilized and assurance that crediting for donated foods will be performed in accordance with the applicable requirements for such method of sales in §250.36;</t>
  </si>
  <si>
    <t>(3) The value of the donated food in the end products; and</t>
  </si>
  <si>
    <t>(4) The location for the delivery of the end products.</t>
  </si>
  <si>
    <t>§250.32   Protection of donated food value.</t>
  </si>
  <si>
    <t>(a) Performance bond or irrevocable letter of credit. The processor must obtain a performance bond or an irrevocable letter of credit to protect the value of donated foods to be received for processing prior to the delivery of the donated foods to the processor. The processor must provide the performance bond or letter of credit to the distributing or recipient agency, in accordance with its In-State or Recipient Agency Processing Agreement. However, a multi-State processor must provide the performance bond or letter of credit to FNS, in accordance with its National Processing Agreement. For multi-State processors, the minimum amount of the performance bond or letter of credit must be sufficient to cover at least 75 percent of the value of donated foods in the processor's physical or book inventory, as determined annually and at the discretion of FNS for processors under National Processing Agreements. For multi-state processors in their first year of participation in the processing program, the amount of the performance bond or letter of credit must be sufficient to cover 100 percent of the value of donated foods, as determined annually, and at the discretion of FNS. The surety company from which a bond is obtained must be listed in the most current Department of Treasury's Listing of Approved Sureties (Department Circular 570).</t>
  </si>
  <si>
    <t>(b) Calling in the performance bond or letter of credit. The distributing or recipient agency must call in the performance bond or letter of credit whenever a processor's lack of compliance with this part, or with the terms of the In-State or Recipient Agency Processing Agreement, results in a loss of donated foods to a distributing or recipient agency and the processor fails to make restitution or respond to a claim action initiated to recover the loss. Similarly, FNS will call in the performance bond or letter of credit in the same circumstances, in accordance with National Processing Agreements, and will ensure that any monies recovered are reimbursed to distributing agencies for losses of entitlement foods.</t>
  </si>
  <si>
    <t>§250.33   Ensuring processing yields of donated foods.</t>
  </si>
  <si>
    <t>(a) End product data schedules. The processor must submit an end product data schedule, in a standard electronic format dictated by FNS, for approval before it may process donated foods into end products. For In-State Processing Agreements, the end product data schedule must be approved by the distributing agency and, for products containing donated red meat and poultry, the end product data schedule must also be approved by the Department. For National Processing Agreements, the end product data schedule must be approved by the Department. An end product data schedule must be submitted, and approved, for each new end product that a processor wishes to provide or for a previously approved end product in which the ingredients (or other pertinent information) have been altered. On the end product data schedule, the processor must describe its processing of donated food into an end product, including the following information:</t>
  </si>
  <si>
    <t>(1) A description of the end product;</t>
  </si>
  <si>
    <t>(2) The types and quantities of donated foods included;</t>
  </si>
  <si>
    <t>(3) The types and quantities of other ingredients included;</t>
  </si>
  <si>
    <t>(4) The quantity of end product produced; and</t>
  </si>
  <si>
    <t>(5) The processing yield of donated food, which may be expressed as the quantity (pounds or cases) of donated food needed to produce a specific quantity of end product or as the percentage of raw donated food versus the quantity returned in the finished end product.</t>
  </si>
  <si>
    <t>(b) Processing yields of donated foods. All end products must have a processing yield of donated foods associated with its production and this processing yield must be indicated on its end product data schedule. The processing yield options are limited to 100 percent yield, guaranteed yield, and standard yield.</t>
  </si>
  <si>
    <t>(1) Under 100 percent yield, the processor must ensure that 100 percent of the raw donated food is returned in the finished end product. The processor must replace any processing loss of donated food with commercially purchased food of the same generic identity, of U.S. origin, and equal or better in all USDA procurement specifications than the donated food. The processor must demonstrate such replacement by reporting reductions in donated food inventories on performance reports by the amount of donated food contained in the finished end product rather than the amount that went into production. The Department may approve an exception if a processor experiences a significant manufacturing loss.</t>
  </si>
  <si>
    <t>(2) Under guaranteed yield, the processor must ensure that a specific quantity of end product (i.e., number of cases) will be produced from a specific quantity of donated food (i.e., pounds), as determined by the parties to the processing agreement, and, for In-State Processing Agreements, approved by the Department. If necessary, the processor must use commercially purchased food of the same generic identity, of U.S. origin, and equal or better in all USDA procurement specifications than the donated food to provide the guaranteed number of cases of end product to the distributing or recipient agency, as appropriate. The guaranteed yield must be indicated on the end product data schedule.</t>
  </si>
  <si>
    <t>(3) Under standard yield, the processor must ensure that a specific quantity of end product (i.e., number of cases), as determined by the Department, will be produced from a specific quantity of donated food. The established standard yield is higher than the yield the processor could achieve under normal commercial production and serves to reward those processors that can process donated foods most efficiently. If necessary, the processor must use commercially purchased food of the same generic identity, of U.S. origin, and equal or better in all USDA procurement specifications than the donated food to provide the number of cases required to meet the standard yield to the distributing or recipient agency, as appropriate. The standard yield must be indicated on the end product data schedule.</t>
  </si>
  <si>
    <t>(c) Compensation for loss of donated foods. The processor must compensate the distributing or recipient agency, as appropriate, for the loss of donated foods, or for the loss of commercially purchased foods substituted for donated foods. Such loss may occur, for example, if the processor fails to meet the required processing yield of donated food or fails to produce end products that meet required specifications, if donated foods are spoiled, damaged, or otherwise adulterated at a processing facility, or if end products are improperly distributed. To compensate for such loss, the processor must:</t>
  </si>
  <si>
    <t>(1) Replace the lost donated food or commercial substitute with commercially purchased food of the same generic identity, of U.S. origin, and equal or better in all USDA procurement specifications than the donated food; or</t>
  </si>
  <si>
    <t>(2) Return end products that are wholesome but do not meet required specifications to production for processing into the requisite quantity of end products that meet the required specifications (commonly called rework products); or</t>
  </si>
  <si>
    <t>(3) If the purchase of replacement foods or the reprocessing of products that do not meet the required specifications is not feasible, the processor may, with FNS, distributing agency, or recipient agency approval, dependent on which entity maintains the agreement with the processor, pay the distributing or recipient agency, as appropriate, for the replacement value of the donated food or commercial substitute.</t>
  </si>
  <si>
    <t>(d) Credit for sale of by-products. The processor must credit the distributing or recipient agency, as appropriate, for the sale of any by-products produced in the processing of donated foods. The processor must credit for the net value of such sale, or the market value of the by-products, after subtraction of any documented expenses incurred in preparing the by-product for sale. Crediting must be achieved through invoice reduction or by another means of crediting.</t>
  </si>
  <si>
    <t>(e) Labeling requirements. The processor must ensure that all end product labels meet Federal labeling requirements. A processor that claims end products fulfill meal pattern requirements in child nutrition programs must comply with the procedures required for approval of labels of such end products.</t>
  </si>
  <si>
    <t>§250.34   Substitution of donated foods.</t>
  </si>
  <si>
    <t>(a) Substitution of commercially purchased foods for donated foods. Unless its agreement specifically stipulates that the donated foods must be used in processing, the processor may substitute commercially purchased foods for donated foods that are delivered to it from a USDA vendor. The commercially purchased food must be of the same generic identity, of U.S. origin, and equal or better in all USDA procurement specifications than the donated food. Commercially purchased beef, pork, or poultry must meet the same specifications as donated product, including inspection, grading, testing, and humane handling standards and must be approved by the Department in advance of substitution. The processor may choose to make the substitution before the actual receipt of the donated food. However, the processor assumes all risk and liability if, due to changing market conditions or other reasons, the Department's purchase of donated foods and their delivery to the processor is not feasible. Commercially purchased food substituted for donated food must meet the same processing yield requirements in §250.33 that would be required for the donated food.</t>
  </si>
  <si>
    <t>(b) Prohibition against substitution and other requirements for backhauled donated foods. The processor may not substitute or commingle donated foods that are backhauled to it from a distributing or recipient agency's storage facility. The processor must process backhauled donated foods into end products for sale and delivery to the distributing or recipient agency that provided them and not to any other agency. Distributing or recipient agencies must purchase end products utilizing donated foods backhauled to their contracted processor. The processor may not provide payment for backhauled donated foods in lieu of processing.</t>
  </si>
  <si>
    <t>(c) Grading requirements. The processing of donated beef, pork, and poultry must occur under Federal Quality Assessment Division grading, which is conducted by the Department's Agricultural Marketing Service. Federal Quality Assessment Division grading ensures that processing is conducted in compliance with substitution and yield requirements and in conformance with the end product data schedule. The processor is responsible for paying the cost of acceptance service grading. The processor must maintain grading certificates and other records necessary to document compliance with requirements for substitution of donated foods and with other requirements of this subpart.</t>
  </si>
  <si>
    <t>(d) Waiver of grading requirements. The distributing agency may waive the grading requirement for donated beef, pork or poultry in accordance with one of the conditions listed in this paragraph (d). However, grading may only be waived on a case by case basis (e.g., for a particular production run); the distributing agency may not approve a blanket waiver of the requirement. Additionally, a waiver may only be granted if a processor's past performance indicates that the quality of the end product will not be adversely affected. The conditions for granting a waiver include:</t>
  </si>
  <si>
    <t>(1) That even with ample notification time, the processor cannot secure the services of a grader;</t>
  </si>
  <si>
    <t>(2) The cost of the grader's service in relation to the value of donated beef, pork or poultry being processed would be excessive; or</t>
  </si>
  <si>
    <t>(3) The distributing or recipient agency's urgent need for the product leaves insufficient time to secure the services of a grader.</t>
  </si>
  <si>
    <t>(e) Use of substituted donated foods. The processor may use donated foods that have been substituted with commercially purchased foods in other processing activities conducted at its facilities.</t>
  </si>
  <si>
    <t>§250.35   Storage, food safety, quality control, and inventory management.</t>
  </si>
  <si>
    <t>(a) Storage and quality control. The processor must ensure the safe and effective storage of donated foods, including compliance with the general storage requirements in §250.12, and must maintain an effective quality control system at its processing facilities. The processor must maintain documentation to verify the effectiveness of its quality control system and must provide such documentation upon request.</t>
  </si>
  <si>
    <t>(b) Food safety requirements. The processor must ensure that all processing of donated foods is conducted in compliance with all Federal, State, and local requirements relative to food safety.</t>
  </si>
  <si>
    <t>(c) Commingling of donated foods and commercially purchased foods. The processor may commingle donated foods and commercially purchased foods, unless the processing agreement specifically stipulates that the donated foods must be used in processing, and not substituted, or the donated foods have been backhauled from a recipient agency. However, such commingling must be performed in a manner that ensures the safe and efficient use of donated foods, as well as compliance with substitution requirements in §250.34 and with reporting of donated food inventories on performance reports, as required in §250.37. The processor must also ensure that commingling of processed end products and other food products, either at its facility or at the facility of a commercial distributor, ensures the sale and delivery of end products that meet the processing requirements in this subpart—e.g., by affixing the applicable USDA certification stamp to the exterior shipping containers of such end products.</t>
  </si>
  <si>
    <t>(d) Limitation on donated food inventories. Inventories of donated food at processors may not be in excess of a six-month supply, based on an average amount of donated foods utilized, unless a higher level has been specifically approved by the distributing agency on the basis of a written justification submitted by the processor. Distributing agencies are not permitted to submit food orders for processors reporting no sales activity during the prior year's contract period unless documentation is submitted by the processor which outlines specific plans for donated food drawdown, product promotion, or sales expansion. When inventories are determined to be excessive for a State or processor, e.g., more than six months or exceeding the established protection, FNS may require the transfer of inventory and/or entitlement to another State or processor to ensure utilization prior to the end of the school year.</t>
  </si>
  <si>
    <t>(e) Reconciliation of excess donated food inventories. If, at the end of the school year, the processor has donated food inventories in excess of a six-month supply, the distributing agency may, in accordance with paragraph (d) of this section, permit the processor to carry over such excess inventory into the next year of its agreement, if it determines that the processor may efficiently store and process such quantity of donated foods. The distributing agency may also direct the processor to transfer such donated foods to other recipient agencies, or to transfer them to other distributing agencies, in accordance with §250.12(e). However, if these actions are not practical, the distributing agency must require the processor to pay it for the donated foods held in excess of allowed levels at the replacement value of the donated foods.</t>
  </si>
  <si>
    <t>(f) Disposition of donated food inventories upon agreement termination. When an agreement terminates, and is not extended or renewed, the processor must take one of the actions indicated in this paragraph (f) with respect to remaining donated food inventories, as directed by the distributing agency or recipient agency, as appropriate. The processor must pay the cost of transporting any donated foods when the agreement is terminated at the processor's request or as a result of the processor's failure to comply with the requirements of this part. The processor must:</t>
  </si>
  <si>
    <t>(1) Return the donated foods, or commercially purchased foods that meet the substitution requirements in §250.34, to the distributing or recipient agency, as appropriate; or</t>
  </si>
  <si>
    <t>(2) Transfer the donated foods, or commercially purchased foods that meet the substitution requirements in §250.34, to another distributing or recipient agency with which it has a processing agreement; or</t>
  </si>
  <si>
    <t>(3) If returning or transferring the donated foods, or commercially purchased foods that meet the substitution requirements in §250.34, is not feasible, the processor may, with FNS approval, pay the distributing or recipient agency, as appropriate, for the donated foods, at the contract value or replacement value of the donated foods, whichever is higher.</t>
  </si>
  <si>
    <t>§250.36   End product sales and crediting for the value of donated foods.</t>
  </si>
  <si>
    <t>(a) Methods of end product sales. To ensure that the distributing or recipient agency, as appropriate, receives credit for the value of donated foods contained in end products, the sale of end products must be performed using one of the methods of end product sales, also known as value pass through systems, described in this section. All systems of sales utilized must provide clear documentation of crediting for the value of the donated foods contained in the end products.</t>
  </si>
  <si>
    <t>(b) Refund or rebate. Under this system, the processor sells end products to the distributing or recipient agency, as appropriate, at the commercial, or gross, price and must provide a refund or rebate for the value of the donated food contained in the end products. The processor may also deliver end products to a commercial distributor for sale to distributing or recipient agencies under this system. In both cases, the processor must provide a refund to the appropriate agency within 30 days of receiving a request for a refund from that agency. The refund request must be in writing, which may be transmitted via email or other electronic submission.</t>
  </si>
  <si>
    <t>(c) Direct discount. Under this system, the processor must sell end products to the distributing or recipient agency, as appropriate, at a net price that incorporates a discount from the commercial case price for the value of donated food contained in the end products.</t>
  </si>
  <si>
    <t>(d) Indirect discount. Under this system, also known as net off invoice, the processor delivers end products to a commercial distributor, which must sell the end products to an eligible distributing or recipient agency, as appropriate, at a net price that incorporates a discount from the commercial case price for the value of donated food contained in the end products. The processor must require the distributor to notify it of such sales, at least on a monthly basis, through automated sales reports or other electronic or written submission. The processor then compensates the distributor for the discount provided for the value of the donated food in its sale of end products. Recipient agencies should closely monitor invoices to ensure correct discounts are applied.</t>
  </si>
  <si>
    <t>(e) Fee-for-service. (1) Under this system, the processor must sell end products to the distributing or recipient agency, as appropriate, at a fee-for-service, which includes all costs to produce the end products not including the value of the donated food used in production. Three basic types of fee-for-service are used:</t>
  </si>
  <si>
    <t>(i) Direct shipment and invoicing from the processor to the recipient agency;</t>
  </si>
  <si>
    <t>(ii) Fee-for-service through a distributor, where the processor ships multiple pallets of product to a distributor with a breakout of who owns what products; and</t>
  </si>
  <si>
    <t>(iii) What is commonly known as Modified Fee-for-service, when the recipient agency has an authorized agent bill them for the total case price.</t>
  </si>
  <si>
    <t>(2) The processor must identify any charge for delivery of end products separately from the fee-for-service on its invoice. If the processor provides end products sold under fee-for-service to a distributor for delivery to the distributing or recipient agency, the processor must identify the distributor's delivery charge separately from the fee-for-service on its invoice to the appropriate agency or may permit the distributor to bill the agency separately for the delivery of end products. The processor must require that the distributor notify it of such sales, at least on a monthly basis, through automated sales reports, email, or other electronic or written submission. When the recipient agency procures storage and distribution of processed end products separately from the processing of donated foods, the recipient agency may provide the distributor written approval to act as the recipient agency's authorized agent for the total case price (i.e., including the fee-for-service and the delivery charge), in accordance with §250.11(e).</t>
  </si>
  <si>
    <t>(f) Approved alternative method. The processor or distributor may sell end products under an alternative method approved by FNS and the distributing agency that ensures crediting for the value of donated foods contained in the end products.</t>
  </si>
  <si>
    <t>(g) Donated food value used in crediting. In crediting for the value of donated foods in end product sales, the contract value of the donated foods, as defined in §250.2, must be used.</t>
  </si>
  <si>
    <t>(h) Ensuring sale and delivery of end products to eligible recipient agencies. In order to ensure the sale of end products to eligible recipient agencies, the distributing agency must provide the processor with a list of recipient agencies eligible to purchase end products, along with the quantity of raw donated food that is to be delivered to the processor for processing on behalf of each recipient agency. In order to ensure that the distributor sells end products only to eligible recipient agencies, the processor must provide the distributor with a list of eligible recipient agencies and either:</t>
  </si>
  <si>
    <t>(1) The quantities of approved end products that each recipient agency is eligible to receive; or</t>
  </si>
  <si>
    <t>(2) The quantity of donated food allocated to each recipient agency and the raw donated food (pounds or cases) needed per case of each approved end product.</t>
  </si>
  <si>
    <t>§250.37   Reports, records, and reviews of processor performance.</t>
  </si>
  <si>
    <t>(a) Performance reports. The processor must submit a performance report to the distributing agency (or to the recipient agency, in accordance with a Recipient Agency Processing Agreement) on a monthly basis, which must include the information listed in this paragraph (a). Performance reports must be submitted not later than 30 days after the end of the reporting period. The performance report must include the following information for the reporting period, with year-to-date totals:</t>
  </si>
  <si>
    <t>(1) A list of all recipient agencies purchasing end products;</t>
  </si>
  <si>
    <t>(2) The quantity of donated foods in inventory at the beginning of the reporting period;</t>
  </si>
  <si>
    <t>(3) The quantity of donated foods received;</t>
  </si>
  <si>
    <t>(4) The quantity of donated foods transferred to the processor from another entity, or transferred by the processor to another entity;</t>
  </si>
  <si>
    <t>(5) The quantity of donated foods losses;</t>
  </si>
  <si>
    <t>(6) The quantity of end products delivered to each eligible recipient agency;</t>
  </si>
  <si>
    <t>(7) The quantity of donated foods remaining at the end of the reporting period;</t>
  </si>
  <si>
    <t>(8) A certification statement that sufficient donated foods are in inventory or on order to account for the quantities needed for production of end products;</t>
  </si>
  <si>
    <t>(9) Grading certificates, as applicable; and</t>
  </si>
  <si>
    <t>(10) Other supporting documentation, as required by the distributing agency or recipient agency.</t>
  </si>
  <si>
    <t>(b) Reporting reductions in donated food inventories. The processor must report reductions in donated food inventories on performance reports only after sales of end products have been made, or after sales of end products through distributors have been documented. However, when a recipient agency has contracted with a distributor to act as an authorized agent, the processor may report reductions in donated food inventories upon delivery and acceptance by the contracted distributor, in accordance with §250.11(e). Documentation of distributor sales must be through the distributing or recipient agency's request for a refund (under a refund or rebate system) or through receipt of the distributor's automated sales reports or other electronic or written reports submitted to the processor (under an indirect discount system or under a fee-for-service system).</t>
  </si>
  <si>
    <t>(c) Summary performance report. Along with the submission of performance reports to the distributing agency, a multi-State processor must submit a summary performance report to FNS, on a monthly basis and in a format established by FNS, in accordance with its National Processing Agreement. The summary report must include an accounting of the processor's national inventory of donated foods, including the information listed in this paragraph (c). The report must be submitted not later than 30 days after the end of the reporting period; however, the final performance report must be submitted within 60 days of the end of the reporting period. The summary performance report must include the following information for the reporting period:</t>
  </si>
  <si>
    <t>(1) The total donated food inventory by State and the national total at the beginning of the reporting period;</t>
  </si>
  <si>
    <t>(2) The total quantity of donated food received by State, with year-to-date totals, and the national total of donated food received;</t>
  </si>
  <si>
    <t>(3) The total quantity of donated food reduced from inventory by State, with year-to-date totals, and the national total of donated foods reduced from inventory; and</t>
  </si>
  <si>
    <t>(4) The total quantity of donated foods remaining in inventory by State, and the national total, at the end of the reporting period.</t>
  </si>
  <si>
    <t>(d) Recordkeeping requirements for processors. The processor must maintain the following records relating to the processing of donated foods:</t>
  </si>
  <si>
    <t>(1) End product data schedules and summary end product data schedules, as applicable;</t>
  </si>
  <si>
    <t>(2) Receipt of donated foods shipments;</t>
  </si>
  <si>
    <t>(3) Production, sale, and delivery of end products, including sales through distributors;</t>
  </si>
  <si>
    <t>(4) All agreements with distributors;</t>
  </si>
  <si>
    <t>(5) Remittance of refunds, invoices, or other records that assure crediting for donated foods in end products and for sale of byproducts;</t>
  </si>
  <si>
    <t>(6) Documentation of Federal or State inspection of processing facilities, as appropriate, and of the maintenance of an effective quality control system;</t>
  </si>
  <si>
    <t>(7) Documentation of substitution of commercial foods for donated foods, including grading certificates, as applicable;</t>
  </si>
  <si>
    <t>(8) Waivers of grading requirements, as applicable; and</t>
  </si>
  <si>
    <t>(9) Required reports.</t>
  </si>
  <si>
    <t>(e) Recordkeeping requirements for the distributing agency. The distributing agency must maintain the following records relating to the processing of donated foods:</t>
  </si>
  <si>
    <t>(1) In-State Processing Agreements and State Participation Agreements;</t>
  </si>
  <si>
    <t>(2) End product data schedules or summary end product data schedules, as applicable;</t>
  </si>
  <si>
    <t>(3) Performance reports;</t>
  </si>
  <si>
    <t>(4) Grading certificates, as applicable;</t>
  </si>
  <si>
    <t>(5) Documentation that supports information on the performance report, as required by the distributing agency (e.g., sales invoices or copies of refund payments);</t>
  </si>
  <si>
    <t>(6) Copies of audits of in-State processors and documentation of the correction of any deficiencies identified in such audits;</t>
  </si>
  <si>
    <t>(7) The receipt of end products, as applicable; and</t>
  </si>
  <si>
    <t>(8) Procurement documents, as applicable.</t>
  </si>
  <si>
    <t>(f) Recordkeeping requirements for the recipient agency. The recipient agency must maintain the following records relating to the processing of donated foods:</t>
  </si>
  <si>
    <t>(1) The receipt of end products purchased from processors or distributors;</t>
  </si>
  <si>
    <t>(2) Crediting for the value of donated foods contained in end products;</t>
  </si>
  <si>
    <t>(3) Recipient Agency Processing Agreements, as applicable, and, in accordance with such agreements, other records included in paragraph (e) of this section, if not retained by the distributing agency; and</t>
  </si>
  <si>
    <t>(4) Procurement documents, as applicable.</t>
  </si>
  <si>
    <t>(g) Review requirements for the distributing agency. The distributing agency must review performance reports and other records that it must maintain, in accordance with the requirements in paragraph (e) of this section, to ensure that the processor:</t>
  </si>
  <si>
    <t>(1) Receives donated food shipments;</t>
  </si>
  <si>
    <t>(2) Delivers end products to eligible recipient agencies, in the types and quantities for which they are eligible;</t>
  </si>
  <si>
    <t>(3) Meets the required processing yields for donated foods; and</t>
  </si>
  <si>
    <t>(4) Accurately reports donated food inventory activity and maintains inventories within approved levels.</t>
  </si>
  <si>
    <t>§250.38   Provisions of agreements.</t>
  </si>
  <si>
    <t>(a) National Processing Agreement. A National Processing Agreement includes provisions to ensure that a multi-State processor complies with all of the applicable requirements in this part relating to the processing of donated foods.</t>
  </si>
  <si>
    <t>(b) Required provisions for State Participation Agreement. A State Participation Agreement with a multi-State processor must include the following provisions:</t>
  </si>
  <si>
    <t>(1) Contact information for all appropriate parties to the agreement;</t>
  </si>
  <si>
    <t>(2) The effective dates of the agreement;</t>
  </si>
  <si>
    <t>(3) A list of recipient agencies eligible to receive end products;</t>
  </si>
  <si>
    <t>(4) Summary end product data schedules, with end products that may be sold in the State;</t>
  </si>
  <si>
    <t>(5) Assurance that the processor will not substitute or commingle backhauled donated foods and will provide end products processed from such donated foods only to the distributing or recipient agency from which the foods were received;</t>
  </si>
  <si>
    <t>(6) Any applicable labeling requirements;</t>
  </si>
  <si>
    <t>(7) Other processing requirements implemented by the distributing agency, such as the specific method(s) of end product sales permitted;</t>
  </si>
  <si>
    <t>(8) A statement that the agreement may be terminated by either party upon 30 days' written notice;</t>
  </si>
  <si>
    <t>(9) A statement that the agreement may be terminated immediately if the processor has not complied with its terms and conditions; and</t>
  </si>
  <si>
    <t>(10) A statement requiring the processor to enter into an agreement with any and all distributors delivering processed end products to recipient agencies that ensures adequate data sharing, reporting, and crediting of donated foods, in accordance with §250.30(i).</t>
  </si>
  <si>
    <t>(c) Required provisions of the In-State Processing Agreement. An In-State Processing Agreement must include the following provisions or attachments:</t>
  </si>
  <si>
    <t>(3) A list of recipient agencies eligible to receive end products, as applicable;</t>
  </si>
  <si>
    <t>(4) In the event that subcontracting is allowed, the specific activities that will be performed under subcontracts;</t>
  </si>
  <si>
    <t>(5) Assurance that the processor will provide a performance bond or irrevocable letter of credit to protect the value of donated foods it is expected to maintain in inventory, in accordance with §250.32;</t>
  </si>
  <si>
    <t>(6) End product data schedules for all end products, with all required information, in accordance with §250.33(a);</t>
  </si>
  <si>
    <t>(7) Assurance that the processor will meet processing yields for donated foods, in accordance with §250.33;</t>
  </si>
  <si>
    <t>(8) Assurance that the processor will compensate the distributing or recipient agency, as appropriate, for any loss of donated foods, in accordance with §250.33(c);</t>
  </si>
  <si>
    <t>(9) Any applicable labeling requirements;</t>
  </si>
  <si>
    <t>(10) Assurance that the processor will meet requirements for the substitution of commercially purchased foods for donated foods, including grading requirements, in accordance with §250.34;</t>
  </si>
  <si>
    <t>(11) Assurance that the processor will not substitute or commingle backhauled donated foods and will provide end products processed from such donated foods only to the recipient agency from which the foods were received, as applicable;</t>
  </si>
  <si>
    <t>(12) Assurance that the processor will provide for the safe and effective storage of donated foods, meet inspection requirements, and maintain an effective quality control system at its processing facilities;</t>
  </si>
  <si>
    <t>(13) Assurance that the processor will report donated food inventory activity and maintain inventories within approved levels;</t>
  </si>
  <si>
    <t>(14) Assurance that the processor will return, transfer, or pay for, donated food inventories remaining upon termination of the agreement, in accordance with §250.35(f);</t>
  </si>
  <si>
    <t>(15) The specific method(s) of end product sales permitted, in accordance with §250.36;</t>
  </si>
  <si>
    <t>(16) Assurance that the processor will credit recipient agencies for the value of all donated foods, in accordance with §250.36;</t>
  </si>
  <si>
    <t>(17) Assurance that the processor will submit performance reports and meet other reporting and recordkeeping requirements, in accordance with §250.37;</t>
  </si>
  <si>
    <t>(18) Assurance that the processor will obtain independent CPA audits and will correct any deficiencies identified in such audits, in accordance with §250.20;</t>
  </si>
  <si>
    <t>(19) A statement that the distributing agency, subdistributing agency, or recipient agency, the Comptroller General, the Department of Agriculture, or their duly authorized representatives, may perform on-site reviews of the processor's operation to ensure that all activities relating to donated foods are performed in accordance with the requirements in 7 CFR part 250;</t>
  </si>
  <si>
    <t>(20) A statement that the agreement may be terminated by either party upon 30 days' written notice;</t>
  </si>
  <si>
    <t>(21) A statement that the agreement may be terminated immediately if the processor has not complied with its terms and conditions;</t>
  </si>
  <si>
    <t>(22) A statement that extensions or renewals of the agreement, if applicable, are contingent upon the fulfillment of all agreement provisions; and</t>
  </si>
  <si>
    <t>(23) A statement requiring the processor to enter into an agreement with any and all distributors delivering processed end products to recipient agencies that ensures adequate data sharing, reporting, and crediting of donated foods, in accordance with §250.30(i).</t>
  </si>
  <si>
    <t>(d) Required provisions for Recipient Agency Processing Agreement. The Recipient Agency Processing Agreement must contain the same provisions as an In-State Processing Agreement, to the extent that the distributing agency permits the recipient agency to perform activities normally performed by the distributing agency under an In-State Processing Agreement (e.g., approval of end product data schedules, review of performance reports, or management of the performance bond). However, a list of recipient agencies eligible to receive end products need not be included unless the Recipient Agency Processing Agreement represents more than one (e.g., a cooperative) recipient agency.</t>
  </si>
  <si>
    <t>(e) Noncompliance with processing requirements. If the processor has not complied with processing requirements, the distributing or recipient agency, as appropriate, may choose to not extend or renew the agreement and may immediately terminate it.</t>
  </si>
  <si>
    <t>§250.39   Miscellaneous provisions.</t>
  </si>
  <si>
    <t>(a) Waiver of processing requirements. The Food and Nutrition Service may waive any of the requirements contained in this part for the purpose of conducting demonstration projects to test program changes designed to improve the processing of donated foods.</t>
  </si>
  <si>
    <t>(b) Processing activity guidance. Distributing agencies must develop and provide a processing manual or similar procedural material for guidance to contracting agencies, recipient agencies, and processors. Distributing agencies must revise these materials as necessary to reflect policy and regulatory changes. This guidance material must be provided to contracting agencies, recipient agencies, and processors at the time of the approval of the initial agreement by the distributing agency, when there have been regulatory or policy changes which necessitate changes in the guidance materials, and upon request. The manual must include, at a minimum, statements of the distributing agency's policies and procedures regarding:</t>
  </si>
  <si>
    <t>(1) Contract approval;</t>
  </si>
  <si>
    <t>(2) Monitoring and review of processing activities;</t>
  </si>
  <si>
    <t>(3) Recordkeeping and reporting requirements;</t>
  </si>
  <si>
    <t>(4) Inventory controls; and</t>
  </si>
  <si>
    <t>(5) Refund applications.</t>
  </si>
  <si>
    <t>(c) Guidance or information. Guidance or information relating to the processing of donated foods is included on the FNS website or may otherwise be obtained from FNS.</t>
  </si>
  <si>
    <t>(a) Contract requirements. Prior to donated foods being made available to a food service management company, the recipient agency must enter into a contract with the food service management company. The contract must ensure that all donated foods received for use by the recipient agency in the school or fiscal year, as applicable, are used in the recipient agency's food service, or that commercially purchased foods are used in place of such donated foods only in accordance with the requirements in §250.51(d). Contracts between recipient agencies in child nutrition programs and food service management companies must also ensure compliance with other requirements in this subpart relating to donated foods, as well as other Federal requirements in 7 CFR parts 210, 220, 225, or 226, as applicable. Contracts between other recipient agencies—i.e., charitable institutions and recipient agencies utilizing TEFAP foods—and food service management companies are not subject to the other requirements in this subpart.</t>
  </si>
  <si>
    <t>(b) Types of contracts. Recipient agencies may enter into a fixed-price or a cost-reimbursable contract with a food service management company, except that recipient agencies in CACFP are prohibited from entering into cost-reimbursable contracts, in accordance with 7 CFR part 226. Under a fixed-price contract, the recipient agency pays a fixed cost per meal provided or a fixed cost for a certain time period. Under a cost-reimbursable contract, the food service management company charges the recipient agency for food service operating costs, and also charges fixed fees for management or services.</t>
  </si>
  <si>
    <t>(c) Procurement requirements. The recipient agency must meet Departmental procurement requirements in 7 2 CFR part 200, subpart D, and USDA implementing regulations at 2 CFR parts 400 and 416, as applicable, in obtaining the services of a food service management company, as well as applicable requirements in 7 CFR parts 210, 220, 225, or 226. The recipient agency must ensure that procurement documents, as well as contract provisions, include any donated food activities that a food service management company is to perform, such as those activities listed in paragraph (d) of this section. The procurement and contract must also specify the method used to determine the donated food values to be used in crediting, or the actual values assigned, in accordance with §250.51. The method used to determine the donated food values may not be established through a post-award negotiation, or by any other method that may directly or indirectly alter the terms and conditions of the procurement or contract.</t>
  </si>
  <si>
    <t>(d) Activities relating to donated foods. A food service management company may perform specific activities relating to donated foods, such as those listed in this paragraph (d), in accordance with procurement documents and its contract with the recipient agency. Such activities may also include the procurement of processed end products on behalf of the recipient agency. Such procurement must ensure compliance with the requirements in subpart C of this part and with the provisions of the distributing or recipient agency's processing agreements, and must ensure crediting of the recipient agency for the value of donated foods contained in such end products at the processing agreement value. Although the food service management company may procure processed end products on behalf of the recipient agency, it may not itself enter into the processing agreement with the processor required in subpart C of this part. Other donated food activities that the food service management company may perform include:</t>
  </si>
  <si>
    <t>[73 FR 46185, Aug. 8, 2008, as amended at 81 FR 23111, Apr. 19, 2016]</t>
  </si>
  <si>
    <t>(a) Crediting for donated foods. In both fixed-price and cost-reimbursable contracts, the food service management company must credit the recipient agency for the value of all donated foods received for use in the recipient agency's meal service in a school year or fiscal year (including both entitlement and bonus foods). Such requirement includes crediting for the value of donated foods contained in processed end products if the food service management company's contract requires it to:</t>
  </si>
  <si>
    <t>(b) Method and frequency of crediting. The recipient agency may permit crediting for the value of donated foods through invoice reductions, refunds, discounts, or other means. However, all forms of crediting must provide clear documentation of the value received from the donated foods—e.g., by separate line item entries on invoices. If provided for in a fixed-price contract, the recipient agency may permit a food service management company to pre-credit for donated foods. In pre-crediting, a deduction for the value of donated foods is included in the established fixed price per meal. However, the recipient agency must ensure that the food service management company provides an additional credit for any donated foods not accounted for in the fixed price per meal—e.g., for donated foods that are not made available until later in the year. In cost-reimbursable contracts, crediting may be performed by disclosure; i.e., the food service management company credits the recipient agency for the value of donated foods by disclosing, in its billing for food costs submitted to the recipient agency, the savings resulting from the receipt of donated foods for the billing period. In all cases, the recipient agency must require crediting to be performed not less frequently than annually, and must ensure that the specified method of valuation of donated foods permits crediting to be achieved in the required time period. A school food authority must also ensure that the method, and timing, of crediting does not cause its cash resources to exceed the limits established in 7 CFR 210.9(b)(2).</t>
  </si>
  <si>
    <t>(c) Donated food values required in crediting. The recipient agency must ensure that, in crediting it for the value of donated foods, the food service management company uses the donated food values determined by the distributing agency, in accordance with §250.58(e), or, if approved by the distributing agency, donated food values determined by an alternate means of the recipient agency's choosing. For example, the recipient agency may, with the approval of the distributing agency, specify that the value will be the average price per pound for a food, or for a group or category of foods (e.g., all frozen foods or cereal products), as listed in market journals over a specified period of time. However, the method of determining the donated food values to be used in crediting must be included in procurement documents and in the contract, and must result in the determination of actual values; e.g., the average USDA purchase price for the period of the contract with the food vendor, or the average price per pound listed in market journals over a specified period of time. Negotiation of such values is not permitted. Additionally, the method of valuation must ensure that crediting may be achieved in accordance with paragraph (b) of this section, and at the specific frequency established in procurement documents and in the contract.</t>
  </si>
  <si>
    <t>(d) Use of donated foods. The food service management company must use all donated beef, pork, and all processed end products, in the recipient agency's food service, and must use all other donated foods, or commercially purchased foods of the same generic identity, of U.S. origin, and of equal or better quality than the donated foods, in the recipient agency's food service (unless the contract specifically stipulates that the donated foods, and not such commercial substitutes, be used).</t>
  </si>
  <si>
    <t>(a) General requirements. The food service management company must meet the requirements for the safe storage and control of donated foods in §250.14(a).</t>
  </si>
  <si>
    <t>(b) Storage and inventory with commercially purchased foods. The food service management company may store and inventory donated foods together with foods it has purchased commercially for the school food authority's use (unless specifically prohibited in the contract). It may store and inventory such foods together with other commercially purchased foods only to the extent that such a system ensures compliance with the requirements for the use of donated foods in §250.51(d)—i.e., use all donated beef and pork, and all end products in the food service, and use all other donated foods or commercially purchased foods of the same generic identity, of U.S. origin, and of equal or better quality than the donated foods, in the food service. Additionally, under cost-reimbursable contracts, the food service management company must ensure that its system of inventory management does not result in the recipient agency being charged for donated foods.</t>
  </si>
  <si>
    <t>(c) Disposition of donated foods and credit reconciliation upon termination of the contract. When a contract terminates, and is not extended or renewed, the food service management company must return all unused donated beef, pork, and processed end products, and must, at the recipient agency's discretion, return other unused donated foods. The recipient agency must ensure that the food service management company has credited it for the value of all donated foods received for use in the recipient agency's meal service in a school year or fiscal year, as applicable.</t>
  </si>
  <si>
    <t>(a) Required contract provisions in fixed-price contracts. The following provisions relating to the use of donated foods must be included, as applicable, in a recipient agency's fixed-price contract with a food service management company. Such provisions must also be included in procurement documents. The required provisions are:</t>
  </si>
  <si>
    <t>(5) A statement that the food service management company will use all donated beef and pork products, and all processed end products, in the recipient agency's food service;</t>
  </si>
  <si>
    <t>(b) Required contract provisions in cost-reimbursable contracts. A cost-reimbursable contract must include the same provisions as those required for a fixed-price contract in paragraph (a) of this section. Such provisions must also be included in procurement documents. However, a cost-reimbursable contract must also contain a statement that the food service management company will ensure that its system of inventory management will not result in the recipient agency being charged for donated foods.</t>
  </si>
  <si>
    <t>(a) Recordkeeping requirements for the recipient agency. The recipient agency must maintain the following records relating to the use of donated foods in its contract with the food service management company:</t>
  </si>
  <si>
    <t>(b) Recordkeeping requirements for the food service management company. The food service management company must maintain the following records relating to the use of donated foods in its contract with the recipient agency:</t>
  </si>
  <si>
    <t>(c) Review requirements for the recipient agency. The recipient agency must ensure that the food service management company is in compliance with the requirements of this part through its monitoring of the food service operation, as required in 7 CFR parts 210, 225, or 226, as applicable. The recipient agency must also conduct a reconciliation at least annually (and upon termination of the contract) to ensure that the food service management company has credited it for the value of all donated foods received for use in the recipient agency's food service in the school or fiscal year, including, in accordance with the requirements in §250.51(a), the value of donated foods contained in processed end products.</t>
  </si>
  <si>
    <t>(d) Departmental reviews of food service management companies. The Department may conduct reviews of food service management company operations, as necessary, to ensure compliance with the requirements of this part with respect to the use and management of donated foods.</t>
  </si>
  <si>
    <t>§200.402   Composition of costs.</t>
  </si>
  <si>
    <t>Total cost. The total cost of a Federal award is the sum of the allowable direct and allocable indirect costs less any applicable credits.</t>
  </si>
  <si>
    <t>§200.403   Factors affecting allowability of costs.</t>
  </si>
  <si>
    <t>Except where otherwise authorized by statute, costs must meet the following general criteria in order to be allowable under Federal awards:</t>
  </si>
  <si>
    <t>(a) Be necessary and reasonable for the performance of the Federal award and be allocable thereto under these principles.</t>
  </si>
  <si>
    <t>(b) Conform to any limitations or exclusions set forth in these principles or in the Federal award as to types or amount of cost items.</t>
  </si>
  <si>
    <t>(c) Be consistent with policies and procedures that apply uniformly to both federally-financed and other activities of the non-Federal entity.</t>
  </si>
  <si>
    <t>(d) Be accorded consistent treatment. A cost may not be assigned to a Federal award as a direct cost if any other cost incurred for the same purpose in like circumstances has been allocated to the Federal award as an indirect cost.</t>
  </si>
  <si>
    <t>(e) Be determined in accordance with generally accepted accounting principles (GAAP), except, for state and local governments and Indian tribes only, as otherwise provided for in this part.</t>
  </si>
  <si>
    <t>(f) Not be included as a cost or used to meet cost sharing or matching requirements of any other federally-financed program in either the current or a prior period. See also §200.306 Cost sharing or matching paragraph (b).</t>
  </si>
  <si>
    <t>(g) Be adequately documented. See also §§200.300 Statutory and national policy requirements through 200.309 Period of performance of this part.</t>
  </si>
  <si>
    <t>§200.404   Reasonable costs.</t>
  </si>
  <si>
    <t>A cost is reasonable if, in its nature and amount, it does not exceed that which would be incurred by a prudent person under the circumstances prevailing at the time the decision was made to incur the cost. The question of reasonableness is particularly important when the non-Federal entity is predominantly federally-funded. In determining reasonableness of a given cost, consideration must be given to:</t>
  </si>
  <si>
    <t>(a) Whether the cost is of a type generally recognized as ordinary and necessary for the operation of the non-Federal entity or the proper and efficient performance of the Federal award.</t>
  </si>
  <si>
    <t>(b) The restraints or requirements imposed by such factors as: sound business practices; arm's-length bargaining; Federal, state, local, tribal, and other laws and regulations; and terms and conditions of the Federal award.</t>
  </si>
  <si>
    <t>(c) Market prices for comparable goods or services for the geographic area.</t>
  </si>
  <si>
    <t>(d) Whether the individuals concerned acted with prudence in the circumstances considering their responsibilities to the non-Federal entity, its employees, where applicable its students or membership, the public at large, and the Federal Government.</t>
  </si>
  <si>
    <t>(e) Whether the non-Federal entity significantly deviates from its established practices and policies regarding the incurrence of costs, which may unjustifiably increase the Federal award's cost.</t>
  </si>
  <si>
    <t>§200.405   Allocable costs.</t>
  </si>
  <si>
    <t>(a) A cost is allocable to a particular Federal award or other cost objective if the goods or services involved are chargeable or assignable to that Federal award or cost objective in accordance with relative benefits received. This standard is met if the cost:</t>
  </si>
  <si>
    <t>(1) Is incurred specifically for the Federal award;</t>
  </si>
  <si>
    <t>(2) Benefits both the Federal award and other work of the non-Federal entity and can be distributed in proportions that may be approximated using reasonable methods; and</t>
  </si>
  <si>
    <t>(3) Is necessary to the overall operation of the non-Federal entity and is assignable in part to the Federal award in accordance with the principles in this subpart.</t>
  </si>
  <si>
    <t>(b) All activities which benefit from the non-Federal entity's indirect (F&amp;A) cost, including unallowable activities and donated services by the non-Federal entity or third parties, will receive an appropriate allocation of indirect costs.</t>
  </si>
  <si>
    <t>(c) Any cost allocable to a particular Federal award under the principles provided for in this part may not be charged to other Federal awards to overcome fund deficiencies, to avoid restrictions imposed by Federal statutes, regulations, or terms and conditions of the Federal awards, or for other reasons. However, this prohibition would not preclude the non-Federal entity from shifting costs that are allowable under two or more Federal awards in accordance with existing Federal statutes, regulations, or the terms and conditions of the Federal awards.</t>
  </si>
  <si>
    <t>(d) Direct cost allocation principles. If a cost benefits two or more projects or activities in proportions that can be determined without undue effort or cost, the cost must be allocated to the projects based on the proportional benefit. If a cost benefits two or more projects or activities in proportions that cannot be determined because of the interrelationship of the work involved, then, notwithstanding paragraph (c) of this section, the costs may be allocated or transferred to benefitted projects on any reasonable documented basis. Where the purchase of equipment or other capital asset is specifically authorized under a Federal award, the costs are assignable to the Federal award regardless of the use that may be made of the equipment or other capital asset involved when no longer needed for the purpose for which it was originally required. See also §§200.310 Insurance coverage through 200.316 Property trust relationship and 200.439 Equipment and other capital expenditures.</t>
  </si>
  <si>
    <t>(e) If the contract is subject to CAS, costs must be allocated to the contract pursuant to the Cost Accounting Standards. To the extent that CAS is applicable, the allocation of costs in accordance with CAS takes precedence over the allocation provisions in this part.</t>
  </si>
  <si>
    <t>§200.406   Applicable credits.</t>
  </si>
  <si>
    <t>(a) Applicable credits refer to those receipts or reduction-of-expenditure-type transactions that offset or reduce expense items allocable to the Federal award as direct or indirect (F&amp;A) costs. Examples of such transactions are: purchase discounts, rebates or allowances, recoveries or indemnities on losses, insurance refunds or rebates, and adjustments of overpayments or erroneous charges. To the extent that such credits accruing to or received by the non-Federal entity relate to allowable costs, they must be credited to the Federal award either as a cost reduction or cash refund, as appropriate.</t>
  </si>
  <si>
    <t>(b) In some instances, the amounts received from the Federal Government to finance activities or service operations of the non-Federal entity should be treated as applicable credits. Specifically, the concept of netting such credit items (including any amounts used to meet cost sharing or matching requirements) must be recognized in determining the rates or amounts to be charged to the Federal award. (See §§200.436 Depreciation and 200.468 Specialized service facilities, for areas of potential application in the matter of Federal financing of activities.)</t>
  </si>
  <si>
    <t>§200.407   Prior written approval (prior approval).</t>
  </si>
  <si>
    <t>Under any given Federal award, the reasonableness and allocability of certain items of costs may be difficult to determine. In order to avoid subsequent disallowance or dispute based on unreasonableness or nonallocability, the non-Federal entity may seek the prior written approval of the cognizant agency for indirect costs or the Federal awarding agency in advance of the incurrence of special or unusual costs. Prior written approval should include the timeframe or scope of the agreement. The absence of prior written approval on any element of cost will not, in itself, affect the reasonableness or allocability of that element, unless prior approval is specifically required for allowability as described under certain circumstances in the following sections of this part:</t>
  </si>
  <si>
    <t>Appendix II to Part 200—Contract Provisions for Non-Federal Entity Contracts Under Federal Awards</t>
  </si>
  <si>
    <t>In addition to other provisions required by the Federal agency or non-Federal entity, all contracts made by the non-Federal entity under the Federal award must contain provisions covering the following, as applicable.</t>
  </si>
  <si>
    <t>(A) Contracts for more than the simplified acquisition threshold currently set at $150,000, which is the inflation adjusted amount determined by the Civilian Agency Acquisition Council and the Defense Acquisition Regulations Council (Councils) as authorized by 41 U.S.C. 1908, must address administrative, contractual, or legal remedies in instances where contractors violate or breach contract terms, and provide for such sanctions and penalties as appropriate.</t>
  </si>
  <si>
    <t>(H) Debarment and Suspension (Executive Orders 12549 and 12689)—A contract award (see 2 CFR 180.220) must not be made to parties listed on the governmentwide exclusions in the System for Award Management (SAM), in accordance with the OMB guidelines at 2 CFR 180 that implement Executive Orders 12549 (3 CFR part 1986 Comp., p. 189) and 12689 (3 CFR part 1989 Comp., p. 235), “Debarment and Suspension.” SAM Exclusions contains the names of parties debarred, suspended, or otherwise excluded by agencies, as well as parties declared ineligible under statutory or regulatory authority other than Executive Order 12549.</t>
  </si>
  <si>
    <t>(J) See §200.322 Procurement of recovered materials.</t>
  </si>
  <si>
    <r>
      <t xml:space="preserve">(B) All contracts </t>
    </r>
    <r>
      <rPr>
        <b/>
        <sz val="11"/>
        <color rgb="FF000000"/>
        <rFont val="Arial"/>
        <family val="2"/>
      </rPr>
      <t>in excess of $10,000</t>
    </r>
    <r>
      <rPr>
        <sz val="11"/>
        <color rgb="FF000000"/>
        <rFont val="Arial"/>
        <family val="2"/>
      </rPr>
      <t xml:space="preserve"> must address termination for cause and for convenience by the non-Federal entity including the manner by which it will be effected and the basis for settlement.</t>
    </r>
  </si>
  <si>
    <r>
      <t xml:space="preserve">(C) </t>
    </r>
    <r>
      <rPr>
        <b/>
        <sz val="11"/>
        <color rgb="FF000000"/>
        <rFont val="Arial"/>
        <family val="2"/>
      </rPr>
      <t>Equal Employment Opportunity</t>
    </r>
    <r>
      <rPr>
        <sz val="11"/>
        <color rgb="FF000000"/>
        <rFont val="Arial"/>
        <family val="2"/>
      </rPr>
      <t>. Except as otherwise provided under 41 CFR Part 60, all contracts that meet the definition of “federally assisted construction contract” in 41 CFR Part 60-1.3 must include the equal opportunity clause provided under 41 CFR 60-1.4(b), in accordance with Executive Order 11246, “Equal Employment Opportunity” (30 FR 12319, 12935, 3 CFR Part, 1964-1965 Comp., p. 339), as amended by Executive Order 11375, “Amending Executive Order 11246 Relating to Equal Employment Opportunity,” and implementing regulations at 41 CFR part 60, “Office of Federal Contract Compliance Programs, Equal Employment Opportunity, Department of Labor.”</t>
    </r>
  </si>
  <si>
    <r>
      <t xml:space="preserve">(D) </t>
    </r>
    <r>
      <rPr>
        <b/>
        <sz val="11"/>
        <color rgb="FF000000"/>
        <rFont val="Arial"/>
        <family val="2"/>
      </rPr>
      <t>Davis-Bacon Act,</t>
    </r>
    <r>
      <rPr>
        <sz val="11"/>
        <color rgb="FF000000"/>
        <rFont val="Arial"/>
        <family val="2"/>
      </rPr>
      <t xml:space="preserve"> as amended (40 U.S.C. 3141-3148). When required by Federal program legislation, all prime construction contracts in excess of $2,000 awarded by non-Federal entities must include a provision for compliance with the Davis-Bacon Act (40 U.S.C. 3141-3144, and 3146-3148) as supplemented by Department of Labor regulations (29 CFR Part 5, “Labor Standards Provisions Applicable to Contracts Covering Federally Financed and Assisted Construction”). In accordance with the statute, contractors must be required to pay wages to laborers and mechanics at a rate not less than the prevailing wages specified in a wage determination made by the Secretary of Labor. In addition, contractors must be required to pay wages not less than once a week. The non-Federal entity must place a copy of the current prevailing wage determination issued by the Department of Labor in each solicitation. The decision to award a contract or subcontract must be conditioned upon the acceptance of the wage determination. The non-Federal entity must report all suspected or reported violations to the Federal awarding agency. The contracts must also include a provision for compliance with the Copeland “Anti-Kickback” Act (40 U.S.C. 3145), as supplemented by Department of Labor regulations (29 CFR Part 3, “Contractors and Subcontractors on Public Building or Public Work Financed in Whole or in Part by Loans or Grants from the United States”). The Act provides that each contractor or subrecipient must be prohibited from inducing, by any means, any person employed in the construction, completion, or repair of public work, to give up any part of the compensation to which he or she is otherwise entitled. The non-Federal entity must report all suspected or reported violations to the Federal awarding agency.</t>
    </r>
  </si>
  <si>
    <r>
      <t xml:space="preserve">(E) Contract Work Hours and Safety Standards Act (40 U.S.C. 3701-3708). Where applicable, all contracts awarded by the non-Federal entity </t>
    </r>
    <r>
      <rPr>
        <b/>
        <sz val="11"/>
        <color rgb="FF000000"/>
        <rFont val="Arial"/>
        <family val="2"/>
      </rPr>
      <t>in excess of $100,000</t>
    </r>
    <r>
      <rPr>
        <sz val="11"/>
        <color rgb="FF000000"/>
        <rFont val="Arial"/>
        <family val="2"/>
      </rPr>
      <t xml:space="preserve"> that involve the employment of mechanics or laborers must include a provision for compliance with 40 U.S.C. 3702 and 3704, as supplemented by Department of Labor regulations (29 CFR Part 5). Under 40 U.S.C. 3702 of the Act, each contractor must be required to compute the wages of every mechanic and laborer on the basis of a standard work week of 40 hours. Work in excess of the standard work week is permissible provided that the worker is compensated at a rate of not less than one and a half times the basic rate of pay for all hours worked in excess of 40 hours in the work week. The requirements of 40 U.S.C. 3704 are applicable to construction work and provide that no laborer or mechanic must be required to work in surroundings or under working conditions which are unsanitary, hazardous or dangerous. These requirements do not apply to the purchases of supplies or materials or articles ordinarily available on the open market, or contracts for transportation or transmission of intelligence.</t>
    </r>
  </si>
  <si>
    <r>
      <t xml:space="preserve">(F) </t>
    </r>
    <r>
      <rPr>
        <b/>
        <sz val="11"/>
        <color rgb="FF000000"/>
        <rFont val="Arial"/>
        <family val="2"/>
      </rPr>
      <t>Rights to Inventions Made Under a Contract or Agreement</t>
    </r>
    <r>
      <rPr>
        <sz val="11"/>
        <color rgb="FF000000"/>
        <rFont val="Arial"/>
        <family val="2"/>
      </rPr>
      <t>. If the Federal award meets the definition of “funding agreement” under 37 CFR §401.2 (a) and the recipient or subrecipient wishes to enter into a contract with a small business firm or nonprofit organization regarding the substitution of parties, assignment or performance of experimental, developmental, or research work under that “funding agreement,” the recipient or subrecipient must comply with the requirements of 37 CFR Part 401, “Rights to Inventions Made by Nonprofit Organizations and Small Business Firms Under Government Grants, Contracts and Cooperative Agreements,” and any implementing regulations issued by the awarding agency.</t>
    </r>
  </si>
  <si>
    <r>
      <t>(G)</t>
    </r>
    <r>
      <rPr>
        <b/>
        <sz val="11"/>
        <color rgb="FF000000"/>
        <rFont val="Arial"/>
        <family val="2"/>
      </rPr>
      <t xml:space="preserve"> Clean Air Act (42 U.S.C. 7401-7671q.) and the Federal Water Pollution Control Ac</t>
    </r>
    <r>
      <rPr>
        <sz val="11"/>
        <color rgb="FF000000"/>
        <rFont val="Arial"/>
        <family val="2"/>
      </rPr>
      <t>t (33 U.S.C. 1251-1387), as amended—Contracts and subgrants of amounts</t>
    </r>
    <r>
      <rPr>
        <b/>
        <sz val="11"/>
        <color rgb="FF000000"/>
        <rFont val="Arial"/>
        <family val="2"/>
      </rPr>
      <t xml:space="preserve"> in excess of $150,000</t>
    </r>
    <r>
      <rPr>
        <sz val="11"/>
        <color rgb="FF000000"/>
        <rFont val="Arial"/>
        <family val="2"/>
      </rPr>
      <t xml:space="preserve"> must contain a provision that requires the non-Federal award to agree to comply with all applicable standards, orders or regulations issued pursuant to the Clean Air Act (42 U.S.C. 7401-7671q) and the Federal Water Pollution Control Act as amended (33 U.S.C. 1251-1387). Violations must be reported to the Federal awarding agency and the Regional Office of the Environmental Protection Agency (EPA).</t>
    </r>
  </si>
  <si>
    <r>
      <t xml:space="preserve">(I) </t>
    </r>
    <r>
      <rPr>
        <b/>
        <sz val="11"/>
        <color rgb="FF000000"/>
        <rFont val="Arial"/>
        <family val="2"/>
      </rPr>
      <t>Byrd Anti-Lobbying Amendment</t>
    </r>
    <r>
      <rPr>
        <sz val="11"/>
        <color rgb="FF000000"/>
        <rFont val="Arial"/>
        <family val="2"/>
      </rPr>
      <t xml:space="preserve"> (31 U.S.C. 1352)—Contractors that apply or bid for an award </t>
    </r>
    <r>
      <rPr>
        <b/>
        <sz val="11"/>
        <color rgb="FF000000"/>
        <rFont val="Arial"/>
        <family val="2"/>
      </rPr>
      <t>exceeding $100,000</t>
    </r>
    <r>
      <rPr>
        <sz val="11"/>
        <color rgb="FF000000"/>
        <rFont val="Arial"/>
        <family val="2"/>
      </rPr>
      <t xml:space="preserve"> must file the required certification. Each tier certifies to the tier above that it will not and has not used Federal appropriated funds to pay any person or organization for influencing or attempting to influence an officer or employee of any agency, a member of Congress, officer or employee of Congress, or an employee of a member of Congress in connection with obtaining any Federal contract, grant or any other award covered by 31 U.S.C. 1352. Each tier must also disclose any lobbying with non-Federal funds that takes place in connection with obtaining any Federal award. Such disclosures are forwarded from tier to tier up to the non-Federal award.</t>
    </r>
  </si>
  <si>
    <r>
      <rPr>
        <b/>
        <sz val="11"/>
        <color theme="1"/>
        <rFont val="Calibri"/>
        <family val="2"/>
        <scheme val="minor"/>
      </rPr>
      <t>7 CFR Part 210.23(c) (c) Retention of records</t>
    </r>
    <r>
      <rPr>
        <sz val="11"/>
        <color theme="1"/>
        <rFont val="Calibri"/>
        <family val="2"/>
        <scheme val="minor"/>
      </rPr>
      <t>. State agencies and school food authorities may retain necessary records in their original form or on microfilm. State agency records shall be retained for a period of 3 years after the date of submission of the final Financial Status Report for the fiscal year. School food authority records shall be retained for a period of 3 years after submission of the final Claim for Reimbursement for the fiscal year. In either case, if audit findings have not been resolved, the records shall be retained beyond the 3-year period as long as required for the resolution of the issues raised by the audit. and  7 CFR Part 3016.36(b)(9) Grantees and subgrantees will maintain records sufficient to detail the significant history of a procurement. These records will include, but are not necessarily limited to the following: rationale for the method of procurement, selection of contract type, contractor selection or rejection, and the basis for the contract price.</t>
    </r>
  </si>
  <si>
    <t>Procurement Standards 2 CFR Parts 200.317 - 200.326</t>
  </si>
  <si>
    <t xml:space="preserve">Drop downs under most columns allow the SFA to select the answer that applies for each procurement/contract listed.  Hover boxes provide additional guidance for the SFA about the information being sought via each cell within the SFA Procurement Table.  If necessary, the SFA may add rows below each procurement type when additional space is needed due to the extensive list of procurements the SFA conducts.  If the SFA adds additional rows in order to list more vendors than what is currently allowed for in the chart, these added rows/vendors will not pre-populate in the correct tab if selected for review by the State agency.  In this instance, the State agency will need to manually enter the vendor name for the selected procurements in the appropriate review tabs.  </t>
  </si>
  <si>
    <t xml:space="preserve">If the State agency determines no competitive procedure was used or the SFA may have procured goods or services in a noncompetitive manner – for instance, the SFA did not solicit bids from multiple sources when applicable, before making its purchases -- the State agency will provide information about the purchases in the Comments section of the SFA Procurement Table, establish a finding and require corrective action.  (See below Step #4:  Providing technical assistance and establishing findings and required corrective action, as applicable.)  </t>
  </si>
  <si>
    <r>
      <t xml:space="preserve">State agencies will use the information provided in the Procurement Selection Chart to select the number of SFA procurements to review using the criteria in the chart.  The chart includes the required sample for each of the different types of procurements (micro-purchase, small purchase, etc.) For example, if the SFA used sealed bids and requests for proposals in 12 procurements, the State agency will select </t>
    </r>
    <r>
      <rPr>
        <sz val="12"/>
        <color rgb="FFFF0000"/>
        <rFont val="Calibri"/>
        <family val="2"/>
        <scheme val="minor"/>
      </rPr>
      <t xml:space="preserve">a maximum of </t>
    </r>
    <r>
      <rPr>
        <b/>
        <sz val="12"/>
        <color rgb="FFFF0000"/>
        <rFont val="Calibri"/>
        <family val="2"/>
        <scheme val="minor"/>
      </rPr>
      <t>6</t>
    </r>
    <r>
      <rPr>
        <sz val="12"/>
        <color rgb="FFFF0000"/>
        <rFont val="Calibri"/>
        <family val="2"/>
        <scheme val="minor"/>
      </rPr>
      <t xml:space="preserve"> </t>
    </r>
    <r>
      <rPr>
        <sz val="12"/>
        <color theme="1"/>
        <rFont val="Calibri"/>
        <family val="2"/>
        <scheme val="minor"/>
      </rPr>
      <t xml:space="preserve">sample contracts for review.  The contracts will include: </t>
    </r>
  </si>
  <si>
    <r>
      <t xml:space="preserve">Use of the FNS Tool is optional; however,  State agencies will review the procurement activities of every SFA at least once in their procurement review cycle.  State agencies may add questions to the Tool to review compliance with State procurement regulations that may be more restrictive than Federal requirements.  While States may tweak the questions to clarify them, States may not change the meaning of the questions or otherwise amend them in such a way as to alter the intent.  If the State agency uses another review tool other than the FNS Tool, the State needs to submit the tool to </t>
    </r>
    <r>
      <rPr>
        <sz val="12"/>
        <color theme="3"/>
        <rFont val="Calibri"/>
        <family val="2"/>
        <scheme val="minor"/>
      </rPr>
      <t>its</t>
    </r>
    <r>
      <rPr>
        <sz val="12"/>
        <color theme="1"/>
        <rFont val="Calibri"/>
        <family val="2"/>
        <scheme val="minor"/>
      </rPr>
      <t xml:space="preserve"> Regional Office for prior approval.   </t>
    </r>
    <r>
      <rPr>
        <sz val="12"/>
        <color rgb="FFFF0000"/>
        <rFont val="Calibri"/>
        <family val="2"/>
        <scheme val="minor"/>
      </rPr>
      <t xml:space="preserve"> </t>
    </r>
    <r>
      <rPr>
        <b/>
        <sz val="12"/>
        <color rgb="FF00B050"/>
        <rFont val="Calibri"/>
        <family val="2"/>
        <scheme val="minor"/>
      </rPr>
      <t xml:space="preserve">[NEW] </t>
    </r>
    <r>
      <rPr>
        <sz val="12"/>
        <color rgb="FFFF0000"/>
        <rFont val="Calibri"/>
        <family val="2"/>
        <scheme val="minor"/>
      </rPr>
      <t xml:space="preserve"> </t>
    </r>
    <r>
      <rPr>
        <sz val="12"/>
        <rFont val="Calibri"/>
        <family val="2"/>
        <scheme val="minor"/>
      </rPr>
      <t xml:space="preserve">State agencies will maintain the results of all SFA procurement reviews including all documentation related to the procurement review, findings, and required corrective action for review by FNS during a Management Evaluation. Files may be retained manually or electronically, as needed by the State agency.  </t>
    </r>
  </si>
  <si>
    <t>(Prioritize vendors receiving the highest dollar value of purchases</t>
  </si>
  <si>
    <r>
      <t xml:space="preserve">If no questions are identified in this column, this tab is either not used by the SFA or the State agency reviewer failed to select vendors for review in the SFA Procurement Table.                                                                                                                                   STATE AGENCY INSTRUCTIONS: </t>
    </r>
    <r>
      <rPr>
        <i/>
        <sz val="12"/>
        <rFont val="Calibri"/>
        <family val="2"/>
        <scheme val="minor"/>
      </rPr>
      <t xml:space="preserve">Obtain copies of LEA/SFA purchase orders issued, and invoices, receipts, etc. to determine if the SFA was compliant with vendor transactions below $10,000 as of June 20, 2018, if goods/services are necessary, allocable, and prices were reasonable, and if purchases were equitably distributed among all qualified sources. Review 3 invoices of vendors selected.  </t>
    </r>
    <r>
      <rPr>
        <b/>
        <i/>
        <sz val="12"/>
        <rFont val="Calibri"/>
        <family val="2"/>
        <scheme val="minor"/>
      </rPr>
      <t>RESPONSE:  YES</t>
    </r>
    <r>
      <rPr>
        <i/>
        <sz val="12"/>
        <rFont val="Calibri"/>
        <family val="2"/>
        <scheme val="minor"/>
      </rPr>
      <t xml:space="preserve">= Compliant; </t>
    </r>
    <r>
      <rPr>
        <b/>
        <i/>
        <sz val="12"/>
        <rFont val="Calibri"/>
        <family val="2"/>
        <scheme val="minor"/>
      </rPr>
      <t>NO</t>
    </r>
    <r>
      <rPr>
        <i/>
        <sz val="12"/>
        <rFont val="Calibri"/>
        <family val="2"/>
        <scheme val="minor"/>
      </rPr>
      <t xml:space="preserve">= Non-compliant.  </t>
    </r>
    <r>
      <rPr>
        <i/>
        <sz val="12"/>
        <color rgb="FF00B050"/>
        <rFont val="Calibri"/>
        <family val="2"/>
        <scheme val="minor"/>
      </rPr>
      <t/>
    </r>
  </si>
  <si>
    <r>
      <t>Step One</t>
    </r>
    <r>
      <rPr>
        <sz val="11"/>
        <color rgb="FF000000"/>
        <rFont val="Calibri"/>
        <family val="2"/>
        <scheme val="minor"/>
      </rPr>
      <t>: Schedule a comprehensive procurement review when required.  A comprehensive procurement review is required at least once during every other</t>
    </r>
    <r>
      <rPr>
        <sz val="11"/>
        <color rgb="FFFF0000"/>
        <rFont val="Calibri"/>
        <family val="2"/>
        <scheme val="minor"/>
      </rPr>
      <t xml:space="preserve"> State agency procurement review</t>
    </r>
    <r>
      <rPr>
        <sz val="11"/>
        <color rgb="FF000000"/>
        <rFont val="Calibri"/>
        <family val="2"/>
        <scheme val="minor"/>
      </rPr>
      <t xml:space="preserve"> cycle.  </t>
    </r>
    <r>
      <rPr>
        <sz val="11"/>
        <color rgb="FFFF0000"/>
        <rFont val="Calibri"/>
        <family val="2"/>
        <scheme val="minor"/>
      </rPr>
      <t>SFAs contracting with a Food Service Management Company (FSMC) require a comprehensive review at least once in each 3-year period per 7 CFR 210.19(a).</t>
    </r>
  </si>
  <si>
    <r>
      <t>Step Two</t>
    </r>
    <r>
      <rPr>
        <sz val="11"/>
        <color rgb="FF000000"/>
        <rFont val="Calibri"/>
        <family val="2"/>
        <scheme val="minor"/>
      </rPr>
      <t xml:space="preserve">: Obtain procurement documentation from the SFA and review the information to select the procurement procedures and vendors for review.  </t>
    </r>
    <r>
      <rPr>
        <sz val="11"/>
        <color rgb="FFFF0000"/>
        <rFont val="Calibri"/>
        <family val="2"/>
        <scheme val="minor"/>
      </rPr>
      <t>(A checklist of documents that may be applicable to the review is found at the end of these instructions.)</t>
    </r>
  </si>
  <si>
    <r>
      <t>Step Three</t>
    </r>
    <r>
      <rPr>
        <sz val="11"/>
        <color rgb="FF000000"/>
        <rFont val="Calibri"/>
        <family val="2"/>
        <scheme val="minor"/>
      </rPr>
      <t>: Assess compliance with Federal procurement standards by reviewing SFA documentation (solicitations, contracts, invoices, etc.) to answer the questions.</t>
    </r>
  </si>
  <si>
    <r>
      <t>Step Four</t>
    </r>
    <r>
      <rPr>
        <sz val="11"/>
        <color rgb="FF000000"/>
        <rFont val="Calibri"/>
        <family val="2"/>
        <scheme val="minor"/>
      </rPr>
      <t xml:space="preserve">: Provide technical assistance, establish findings, and require corrective action, as applicable.  </t>
    </r>
  </si>
  <si>
    <r>
      <t>Step Five</t>
    </r>
    <r>
      <rPr>
        <sz val="11"/>
        <color rgb="FF000000"/>
        <rFont val="Calibri"/>
        <family val="2"/>
        <scheme val="minor"/>
      </rPr>
      <t xml:space="preserve">:  Notify the SFA of the procurement review results </t>
    </r>
    <r>
      <rPr>
        <sz val="11"/>
        <color rgb="FFFF0000"/>
        <rFont val="Calibri"/>
        <family val="2"/>
        <scheme val="minor"/>
      </rPr>
      <t>and as with the AR, when findings and corrective action are required, the State Agency will obtain documented corrective action before closing out the review</t>
    </r>
    <r>
      <rPr>
        <sz val="11"/>
        <color rgb="FF000000"/>
        <rFont val="Calibri"/>
        <family val="2"/>
        <scheme val="minor"/>
      </rPr>
      <t xml:space="preserve">. All tools and documentation to conduct procurement oversight will be review during the State Agency’s Management Evaluation conducted by FNS.  </t>
    </r>
  </si>
  <si>
    <r>
      <t xml:space="preserve">State agencies will schedule comprehensive procurement reviews as planned in their State agency procurement review cycle to </t>
    </r>
    <r>
      <rPr>
        <sz val="11"/>
        <color rgb="FFFF0000"/>
        <rFont val="Calibri"/>
        <family val="2"/>
        <scheme val="minor"/>
      </rPr>
      <t>ensure each SFA receives a comprehensive procurement review when required.  Once the review schedule is planned, the State agency will:</t>
    </r>
  </si>
  <si>
    <r>
      <t>o</t>
    </r>
    <r>
      <rPr>
        <sz val="7"/>
        <color rgb="FF000000"/>
        <rFont val="Times New Roman"/>
        <family val="1"/>
      </rPr>
      <t xml:space="preserve">   </t>
    </r>
    <r>
      <rPr>
        <sz val="11"/>
        <color rgb="FF000000"/>
        <rFont val="Calibri"/>
        <family val="2"/>
        <scheme val="minor"/>
      </rPr>
      <t xml:space="preserve">If the State agency received approval to use an alternate review tool, the SFA procurement information is to be organized to ensure all procurement methods used by the SFA are reviewed.  The FNS Tool uses the “SFA Procurement Table” tab to obtain this information.  From this information, the State agency will select various vendors for review.  </t>
    </r>
  </si>
  <si>
    <r>
      <t>In lieu of providing the SFA Procurement Table for the SFA to complete, the State agency may obtain a vendor paid list</t>
    </r>
    <r>
      <rPr>
        <sz val="11"/>
        <color rgb="FFFF0000"/>
        <rFont val="Calibri"/>
        <family val="2"/>
        <scheme val="minor"/>
      </rPr>
      <t xml:space="preserve"> </t>
    </r>
    <r>
      <rPr>
        <sz val="11"/>
        <color rgb="FF000000"/>
        <rFont val="Calibri"/>
        <family val="2"/>
        <scheme val="minor"/>
      </rPr>
      <t xml:space="preserve">and input the data </t>
    </r>
    <r>
      <rPr>
        <sz val="11"/>
        <color rgb="FFFF0000"/>
        <rFont val="Calibri"/>
        <family val="2"/>
        <scheme val="minor"/>
      </rPr>
      <t xml:space="preserve">into the SFA Procurement Table </t>
    </r>
    <r>
      <rPr>
        <sz val="11"/>
        <color rgb="FF000000"/>
        <rFont val="Calibri"/>
        <family val="2"/>
        <scheme val="minor"/>
      </rPr>
      <t>for the SFA in the applicable procurement review tab:</t>
    </r>
  </si>
  <si>
    <t>Micro-purchases (Used for purchases below $10,000);</t>
  </si>
  <si>
    <t>Small purchases (Used for purchases below $250,000);</t>
  </si>
  <si>
    <t>Formal Procurements (Invitations for Bid/sealed bids and Requests for Proposals/competitive proposals) (Used for purchases over $250,000);</t>
  </si>
  <si>
    <t>FSMCs (2 tabs, one tab that allows the State agency to review base-year contracts prior to execution and one tab for FSMC contracts reviewed during applicable renewal years); and</t>
  </si>
  <si>
    <t xml:space="preserve">The State agency may provide the entire Tool, or parts thereof, as needed.  </t>
  </si>
  <si>
    <t xml:space="preserve">* Establish a timeframe for the review.  Many State agencies recommend contacting the SFAs at the start of the school year. Advance notice enables SFAs to prepare all documentation needed and schedule their work to be accessible to the State agency during the review.  State agencies may also establish a timeframe by which the documentation will be received. </t>
  </si>
  <si>
    <t xml:space="preserve">* Notify SFAs receiving a procurement review and identify the information needed.  Notification may be by a telephone call, email, or letter, the same manner as when conducting other oversight review processes, and include the method the State agency will use to conduct the review, off-site or on-site, or a combination of both.  Actual plans may be determined once the information is received and reviewed by the State agency.    </t>
  </si>
  <si>
    <r>
      <t xml:space="preserve">* Schedule the procurement review.  The review may be scheduled at the same time as the AR, or may be conducted as a separate review </t>
    </r>
    <r>
      <rPr>
        <sz val="11"/>
        <color rgb="FFFF0000"/>
        <rFont val="Calibri"/>
        <family val="2"/>
        <scheme val="minor"/>
      </rPr>
      <t>depending on the State agency’s planned procurement review cycle</t>
    </r>
    <r>
      <rPr>
        <sz val="11"/>
        <color rgb="FF000000"/>
        <rFont val="Calibri"/>
        <family val="2"/>
        <scheme val="minor"/>
      </rPr>
      <t>.  When the review is conducted as a separate review process, the SFA should be notified at least 30 days prior to the review.  When scheduled, include the:</t>
    </r>
  </si>
  <si>
    <t xml:space="preserve">* Begin inputting review information into the review tool.  If the State agency uses the FNS Tool, the State agency or the SFA, will complete the tab titled, "SFA Procurement Table", save the file, and provide the State agency with the completed SFA Procurement Table and vendor paid list.  </t>
  </si>
  <si>
    <r>
      <t xml:space="preserve">The SFA Procurement Table tab is the only tab the SFA </t>
    </r>
    <r>
      <rPr>
        <sz val="11"/>
        <color rgb="FFFF0000"/>
        <rFont val="Calibri"/>
        <family val="2"/>
        <scheme val="minor"/>
      </rPr>
      <t>may be asked</t>
    </r>
    <r>
      <rPr>
        <sz val="11"/>
        <color rgb="FF000000"/>
        <rFont val="Calibri"/>
        <family val="2"/>
        <scheme val="minor"/>
      </rPr>
      <t xml:space="preserve"> to complete prior to the State agency procurement review.  The SFA Procurement Table details the procurement information the SFA conducted so the State agency can select a sample of procurements/contracts to review. </t>
    </r>
    <r>
      <rPr>
        <sz val="11"/>
        <color rgb="FF00B050"/>
        <rFont val="Calibri"/>
        <family val="2"/>
        <scheme val="minor"/>
      </rPr>
      <t xml:space="preserve">[NEW]  </t>
    </r>
    <r>
      <rPr>
        <i/>
        <sz val="11"/>
        <color rgb="FF000000"/>
        <rFont val="Calibri"/>
        <family val="2"/>
        <scheme val="minor"/>
      </rPr>
      <t>The State agency has the discretion</t>
    </r>
    <r>
      <rPr>
        <sz val="11"/>
        <color theme="1"/>
        <rFont val="Calibri"/>
        <family val="2"/>
        <scheme val="minor"/>
      </rPr>
      <t xml:space="preserve"> </t>
    </r>
    <r>
      <rPr>
        <i/>
        <sz val="11"/>
        <color rgb="FF000000"/>
        <rFont val="Calibri"/>
        <family val="2"/>
        <scheme val="minor"/>
      </rPr>
      <t>to review the procurement procedures in the prior school year, or the current school year, based on the time period of when the review is conducted, early in the school year or later in the year.  One possible reason for conducting the review of the current school year is because the current procedures were changed from prior years. For example, if the SFA was self-operating in the prior year but currently contracts with a FSMC; or, the SFA changed from conducting its own procurements to using the services of an SFA cooperative, or contracted for an agent, etc., review current year procurement procedures.</t>
    </r>
    <r>
      <rPr>
        <sz val="11"/>
        <color rgb="FF000000"/>
        <rFont val="Calibri"/>
        <family val="2"/>
        <scheme val="minor"/>
      </rPr>
      <t xml:space="preserve">  The Table requests information about SFA procurement procedures using the </t>
    </r>
    <r>
      <rPr>
        <sz val="11"/>
        <color rgb="FFFF0000"/>
        <rFont val="Calibri"/>
        <family val="2"/>
        <scheme val="minor"/>
      </rPr>
      <t xml:space="preserve">Federally-mandated </t>
    </r>
    <r>
      <rPr>
        <sz val="11"/>
        <color rgb="FF000000"/>
        <rFont val="Calibri"/>
        <family val="2"/>
        <scheme val="minor"/>
      </rPr>
      <t xml:space="preserve">procurement methods above, FSMC contracts, and when procuring processors for processed end-products using USDA Foods.  </t>
    </r>
  </si>
  <si>
    <t>In step two, the State agency will:</t>
  </si>
  <si>
    <r>
      <t xml:space="preserve">Send </t>
    </r>
    <r>
      <rPr>
        <sz val="11"/>
        <color rgb="FFFF0000"/>
        <rFont val="Calibri"/>
        <family val="2"/>
        <scheme val="minor"/>
      </rPr>
      <t xml:space="preserve">the FNS Tool with </t>
    </r>
    <r>
      <rPr>
        <sz val="11"/>
        <color rgb="FF000000"/>
        <rFont val="Calibri"/>
        <family val="2"/>
        <scheme val="minor"/>
      </rPr>
      <t xml:space="preserve">the SFA Procurement Table to the SFA to answer questions and input information in the SFA Procurement table only. </t>
    </r>
  </si>
  <si>
    <t xml:space="preserve">Request copies of the vendor paid list, written code of conduct, and documented procurement procedures.  (Additional documentation of procurements selected for review will be requested following selection of vendors by the State agency). </t>
  </si>
  <si>
    <r>
      <t xml:space="preserve">·       </t>
    </r>
    <r>
      <rPr>
        <u/>
        <sz val="12"/>
        <rFont val="Calibri"/>
        <family val="2"/>
        <scheme val="minor"/>
      </rPr>
      <t>Small purchase procedures</t>
    </r>
    <r>
      <rPr>
        <sz val="12"/>
        <rFont val="Calibri"/>
        <family val="2"/>
        <scheme val="minor"/>
      </rPr>
      <t xml:space="preserve">: The State agency will review one or more vendors the SFA used to purchase goods or services valued below the small purchase threshold ($250,000, or most restrictive threshold).  The reviewer will request documentation such as documented price or rate quotes to ensure each procurement was conducted in a manner that maximizes full and open competition (2 CFR 200.320(b) and 200.319(a)).  Additionally, purchase orders and vendor receipts/invoices will be reviewed to determine if the product/service solicited and the price quoted is what was purchased and charged to the nonprofit food service account. </t>
    </r>
    <r>
      <rPr>
        <sz val="12"/>
        <color rgb="FF00B050"/>
        <rFont val="Calibri"/>
        <family val="2"/>
        <scheme val="minor"/>
      </rPr>
      <t xml:space="preserve">[NEW] </t>
    </r>
    <r>
      <rPr>
        <sz val="12"/>
        <rFont val="Calibri"/>
        <family val="2"/>
        <scheme val="minor"/>
      </rPr>
      <t xml:space="preserve">The reviewer will also determine compliance with the Buy American provision for food and food products. (Applies to Program and non-program foods purchased with the nonprofit food service account.) Domestic foods are produced and processed in the United States, and processed foods must contain over 51% domestic food components, by weight or volume. If the SFA approved an exception to purchase nondomestic foods when domestic foods are prohibitively costly or unavailable in quantities required, the documentation to support the exception must be maintained by the SFA.   </t>
    </r>
  </si>
  <si>
    <r>
      <t xml:space="preserve">Once the contracts are selected using the criteria above, if the SFA uses both a Request for Proposal (RFP) and an Invitation for Bid (IFB) to award contracts, selected contracts should include both fixed-price and cost-reimbursable contract types. </t>
    </r>
    <r>
      <rPr>
        <b/>
        <sz val="12"/>
        <color rgb="FF00B050"/>
        <rFont val="Calibri"/>
        <family val="2"/>
        <scheme val="minor"/>
      </rPr>
      <t>[NEW</t>
    </r>
    <r>
      <rPr>
        <sz val="12"/>
        <color theme="1"/>
        <rFont val="Calibri"/>
        <family val="2"/>
        <scheme val="minor"/>
      </rPr>
      <t xml:space="preserve">] </t>
    </r>
    <r>
      <rPr>
        <sz val="12"/>
        <rFont val="Calibri"/>
        <family val="2"/>
        <scheme val="minor"/>
      </rPr>
      <t xml:space="preserve">As when small purchase procedures are used to purchase food, the reviewer will also determine compliance with the Buy American provision.  (Applies to Program and non-program foods purchased with the nonprofit food service account.) Domestic foods are produced and processed in the United States, and processed foods must contain over 51% domestic food components, by weight or volume. If the SFA approved an exception to purchase nondomestic foods when domestic foods are prohibitively costly or unavailable in quantities required, the documentation to support the exception must be maintained by the SFA.  </t>
    </r>
  </si>
  <si>
    <r>
      <t> •</t>
    </r>
    <r>
      <rPr>
        <u/>
        <sz val="12"/>
        <color theme="1"/>
        <rFont val="Calibri"/>
        <family val="2"/>
        <scheme val="minor"/>
      </rPr>
      <t xml:space="preserve"> FSMC contracts: </t>
    </r>
    <r>
      <rPr>
        <sz val="12"/>
        <color theme="1"/>
        <rFont val="Calibri"/>
        <family val="2"/>
        <scheme val="minor"/>
      </rPr>
      <t xml:space="preserve"> Two review tabs are provided in the Tool: FSMC Renewal Year, which includes review questions for the State agency to use when reviewing SFAs for oversight of FSMC contracts in 7 CFR 210.16 during a renewal year, if not reviewed during the initial contract year; and a tab for State agency use for Pre-Approval of FSMC.  This checklist that may be used by the State agency to review SFA-FSMC contracts (and supporting documentation) prior to approving the SFA-FSMC contract for execution.  State agencies have the discretion to use the SA Pre-Approval FSMC Checklist; the use of this tab is not required and should not be used during the course of an SFA's procurement review.  
o All SFA FSMC contracts must be reviewed using the applicable FSMC tab (base year or renewal year) depending on the year of the contract in which the State agency schedules the review.  </t>
    </r>
    <r>
      <rPr>
        <sz val="12"/>
        <color rgb="FF00B050"/>
        <rFont val="Calibri"/>
        <family val="2"/>
        <scheme val="minor"/>
      </rPr>
      <t xml:space="preserve">[NEW] </t>
    </r>
    <r>
      <rPr>
        <sz val="12"/>
        <color theme="1"/>
        <rFont val="Calibri"/>
        <family val="2"/>
        <scheme val="minor"/>
      </rPr>
      <t xml:space="preserve"> State agencies may consider reviewing SFAs with FSMCs in the base year of the contract to ensure the SFA evaluated vendor responses and awarded the contract as published and is properly monitoring the FSMC to ensure compliance with crediting for the value of USDA Foods in the year they are received (applicable in both fixed-price and cost-reimbursable contracts) and when using a cost-reimbursable contract, ensuring the FSMC returns discounts, rebates, and credits to the nonprofit food service account; credits are identified on invoices submitted for payment; that the FSMC complies with an approved 21-day cycle menu; and food specifications comply with requirements that the FSMC ensures the SFA complies with the Buy American provision, etc. </t>
    </r>
  </si>
  <si>
    <r>
      <t xml:space="preserve">·       </t>
    </r>
    <r>
      <rPr>
        <u/>
        <sz val="12"/>
        <color theme="1"/>
        <rFont val="Calibri"/>
        <family val="2"/>
        <scheme val="minor"/>
      </rPr>
      <t>Processing contracts</t>
    </r>
    <r>
      <rPr>
        <sz val="12"/>
        <color theme="1"/>
        <rFont val="Calibri"/>
        <family val="2"/>
        <scheme val="minor"/>
      </rPr>
      <t xml:space="preserve">: A procurement review of processing contracts is not required when the State Distributing Agency provides cash-in-lieu of commodities, or conducts the competitive procurement process for processors of USDA Foods on behalf of recipient agencies, or </t>
    </r>
    <r>
      <rPr>
        <sz val="12"/>
        <color rgb="FFFF0000"/>
        <rFont val="Calibri"/>
        <family val="2"/>
        <scheme val="minor"/>
      </rPr>
      <t>procures processed end products using USDA Foods when procuring a commercial food distributor</t>
    </r>
    <r>
      <rPr>
        <sz val="12"/>
        <color theme="1"/>
        <rFont val="Calibri"/>
        <family val="2"/>
        <scheme val="minor"/>
      </rPr>
      <t>.  Using the selection chart, the State agency will review processing</t>
    </r>
    <r>
      <rPr>
        <sz val="12"/>
        <color rgb="FFFF0000"/>
        <rFont val="Calibri"/>
        <family val="2"/>
        <scheme val="minor"/>
      </rPr>
      <t xml:space="preserve"> contracts selecting </t>
    </r>
    <r>
      <rPr>
        <sz val="12"/>
        <color theme="1"/>
        <rFont val="Calibri"/>
        <family val="2"/>
        <scheme val="minor"/>
      </rPr>
      <t xml:space="preserve">one contract if the SFA uses a </t>
    </r>
    <r>
      <rPr>
        <sz val="12"/>
        <color rgb="FFFF0000"/>
        <rFont val="Calibri"/>
        <family val="2"/>
        <scheme val="minor"/>
      </rPr>
      <t>market basket analysis method to award contracts</t>
    </r>
    <r>
      <rPr>
        <sz val="12"/>
        <color theme="1"/>
        <rFont val="Calibri"/>
        <family val="2"/>
        <scheme val="minor"/>
      </rPr>
      <t xml:space="preserve">, third-party entity, one contract when </t>
    </r>
    <r>
      <rPr>
        <sz val="12"/>
        <color rgb="FFFF0000"/>
        <rFont val="Calibri"/>
        <family val="2"/>
        <scheme val="minor"/>
      </rPr>
      <t>solicitations resulted in</t>
    </r>
    <r>
      <rPr>
        <sz val="12"/>
        <color theme="1"/>
        <rFont val="Calibri"/>
        <family val="2"/>
        <scheme val="minor"/>
      </rPr>
      <t xml:space="preserve"> only one response was received, and from the remaining processing contracts, select a sample of different value pass-through systems, such as net off invoice, direct discount, fee-for-service, rebate, as applicable.  </t>
    </r>
    <r>
      <rPr>
        <sz val="12"/>
        <color rgb="FF00B050"/>
        <rFont val="Calibri"/>
        <family val="2"/>
        <scheme val="minor"/>
      </rPr>
      <t>[NEW]</t>
    </r>
    <r>
      <rPr>
        <sz val="12"/>
        <color theme="1"/>
        <rFont val="Calibri"/>
        <family val="2"/>
        <scheme val="minor"/>
      </rPr>
      <t xml:space="preserve">  The State agency will use 2 tabs when reviewing contracts for processors of USDA Foods.  </t>
    </r>
    <r>
      <rPr>
        <sz val="12"/>
        <rFont val="Calibri"/>
        <family val="2"/>
        <scheme val="minor"/>
      </rPr>
      <t xml:space="preserve"> </t>
    </r>
    <r>
      <rPr>
        <b/>
        <sz val="12"/>
        <rFont val="Calibri"/>
        <family val="2"/>
        <scheme val="minor"/>
      </rPr>
      <t>1)</t>
    </r>
    <r>
      <rPr>
        <sz val="12"/>
        <rFont val="Calibri"/>
        <family val="2"/>
        <scheme val="minor"/>
      </rPr>
      <t xml:space="preserve">  The applicable procurement method tab, small purchase or formal procurement tabs AND </t>
    </r>
    <r>
      <rPr>
        <b/>
        <sz val="12"/>
        <rFont val="Calibri"/>
        <family val="2"/>
        <scheme val="minor"/>
      </rPr>
      <t>2)</t>
    </r>
    <r>
      <rPr>
        <sz val="12"/>
        <rFont val="Calibri"/>
        <family val="2"/>
        <scheme val="minor"/>
      </rPr>
      <t xml:space="preserve"> The Processing tab.  Use the processing tab for all contracts selected where processed end products for USDA Foods are procured.  
</t>
    </r>
  </si>
  <si>
    <r>
      <rPr>
        <b/>
        <sz val="12"/>
        <color theme="1"/>
        <rFont val="Calibri"/>
        <family val="2"/>
        <scheme val="minor"/>
      </rPr>
      <t xml:space="preserve">Documentation supporting the history of the procurement: </t>
    </r>
    <r>
      <rPr>
        <sz val="12"/>
        <color theme="1"/>
        <rFont val="Calibri"/>
        <family val="2"/>
        <scheme val="minor"/>
      </rPr>
      <t xml:space="preserve"> </t>
    </r>
    <r>
      <rPr>
        <b/>
        <sz val="12"/>
        <color rgb="FF00B050"/>
        <rFont val="Calibri"/>
        <family val="2"/>
        <scheme val="minor"/>
      </rPr>
      <t>[NEW]</t>
    </r>
    <r>
      <rPr>
        <sz val="12"/>
        <color theme="1"/>
        <rFont val="Calibri"/>
        <family val="2"/>
        <scheme val="minor"/>
      </rPr>
      <t xml:space="preserve"> As stated above, i</t>
    </r>
    <r>
      <rPr>
        <i/>
        <sz val="12"/>
        <rFont val="Calibri"/>
        <family val="2"/>
        <scheme val="minor"/>
      </rPr>
      <t xml:space="preserve">f the State agency determines the SFA is NOT compliant with Federal procurement requirements, lacks procurement procedures, or documentation to support the history of procurement practices for any/all procurement procedures, required procurement method used, etc., there is no need to complete the Tool.  The State agency will note this lack of procurement procedures/documentation, provide technical assistance and document findings, establish a corrective action plan, as identified below, and work with the SFA during this year to bring the SFA into compliance.  The State agency must document these efforts and the technical assistance provided. </t>
    </r>
  </si>
  <si>
    <t>·  Vendor paid list for the previous or current school year at the State's discretion;</t>
  </si>
  <si>
    <t>·   Procurement procedures [ CFR 200.318(a) and 7 CFR 210.21(c)];</t>
  </si>
  <si>
    <t>·   Written Code of Conduct [2 CFR 200.318(c) and 7 CFR 210.21(c)];</t>
  </si>
  <si>
    <t>·   Solicitation documentation (small purchase quotes and/or sealed bids/competitive proposals issued and advertisements published, as applicable, and other documents that detail the history of the procurements);</t>
  </si>
  <si>
    <t xml:space="preserve">· Supporting documentation, such as vendor purchase orders and/or receipts/invoices for vendors selected for review (2 CFR 200.318(i)).  The State agency reviewer will examine three (3) receipts from each vendor selected for review.  The State has the discretion to request receipts/invoices as follows:  Three invoices provided in one month; one invoice/month for a three month period; one invoice per price adjustment when this provision exists, etc.; </t>
  </si>
  <si>
    <t xml:space="preserve">If the State agency is able to obtain all necessary documentation off-site, the State agency may conduct the procurement review off-site.  However, if the SFA is unable to provide the documentation electronically or in an otherwise acceptable format, the State agency will need to conduct the procurement review on-site to obtain the documentation to complete the review. </t>
  </si>
  <si>
    <t xml:space="preserve">Once the State agency receives the documentation needed to assess compliance, the State agency will review the information to answer the questions in each review tab.  Answers will be selected “yes, designating compliant” or “no, designating non-compliant” and “NA” for not applicable, as needed, and reviewers will add information in the “comments” box provided next to each question.  When the answer identifies non-compliance, the reviewer will provide technical assistance, establish a finding, and require corrective action.  In the Excel Tool, the question and any comments provided in the review tabs will auto-populate into the “Summary of Findings” tab specific for the review tab. State agencies using the Word version will need to copy and paste the question and comments into the “Summary of Findings” table located at the end of the procurement methods tables.  </t>
  </si>
  <si>
    <t xml:space="preserve">Assessing compliance entails reviewing the documentation and answering questions in each review tab: </t>
  </si>
  <si>
    <r>
      <t xml:space="preserve">The procurement method tabs will be used to review SFA purchases from vendors based on the procurement method used.  The State agency should insert comments/provide technical assistance and record this information in the applicable column.  (See </t>
    </r>
    <r>
      <rPr>
        <b/>
        <sz val="12"/>
        <color theme="1"/>
        <rFont val="Calibri"/>
        <family val="2"/>
        <scheme val="minor"/>
      </rPr>
      <t>Step #4:  Providing technical assistance and establishing findings and required corrective action, as applicable.</t>
    </r>
    <r>
      <rPr>
        <sz val="12"/>
        <color theme="1"/>
        <rFont val="Calibri"/>
        <family val="2"/>
        <scheme val="minor"/>
      </rPr>
      <t xml:space="preserve">)  The State agency will review the SFA's procurement procedures and answer the applicable questions in each of the applicable review tabs to determine if the solicitation process used complies with the type of procurement method—micro-purchase, small purchase, etc.—being reviewed) .  
</t>
    </r>
    <r>
      <rPr>
        <sz val="12"/>
        <color theme="1"/>
        <rFont val="Calibri"/>
        <family val="2"/>
        <scheme val="minor"/>
      </rPr>
      <t xml:space="preserve">
</t>
    </r>
  </si>
  <si>
    <t>If findings of noncompliance are identified, these will be documented, technical assistance provided, findings established, and corrective action required.  Corrective action can take various forms, to include:</t>
  </si>
  <si>
    <r>
      <t>·</t>
    </r>
    <r>
      <rPr>
        <sz val="7"/>
        <color rgb="FF000000"/>
        <rFont val="Times New Roman"/>
        <family val="1"/>
      </rPr>
      <t xml:space="preserve">         </t>
    </r>
    <r>
      <rPr>
        <sz val="11"/>
        <color rgb="FF000000"/>
        <rFont val="Calibri"/>
        <family val="2"/>
        <scheme val="minor"/>
      </rPr>
      <t>Amending contracts to remove unallowable provisions;</t>
    </r>
  </si>
  <si>
    <r>
      <t>·</t>
    </r>
    <r>
      <rPr>
        <sz val="7"/>
        <color rgb="FF000000"/>
        <rFont val="Times New Roman"/>
        <family val="1"/>
      </rPr>
      <t xml:space="preserve">         </t>
    </r>
    <r>
      <rPr>
        <sz val="11"/>
        <color rgb="FF000000"/>
        <rFont val="Calibri"/>
        <family val="2"/>
        <scheme val="minor"/>
      </rPr>
      <t>Re-soliciting contracts to ensure contracts are awarded to the lowest responsive and responsible bidder/offeror most advantageous to the Program with price as the primary factor considered (2 CFR 200.320(d)) and SP 12-2016, CACFP05-2016 and SFSP09-2015 dated November 13, 2015.</t>
    </r>
  </si>
  <si>
    <r>
      <t>·</t>
    </r>
    <r>
      <rPr>
        <sz val="7"/>
        <color rgb="FF000000"/>
        <rFont val="Times New Roman"/>
        <family val="1"/>
      </rPr>
      <t xml:space="preserve">         </t>
    </r>
    <r>
      <rPr>
        <sz val="11"/>
        <color rgb="FF000000"/>
        <rFont val="Calibri"/>
        <family val="2"/>
        <scheme val="minor"/>
      </rPr>
      <t xml:space="preserve">New solicitations and contracts will be finalized in time effective with the next Program year.  </t>
    </r>
  </si>
  <si>
    <r>
      <t>·</t>
    </r>
    <r>
      <rPr>
        <sz val="7"/>
        <color rgb="FF000000"/>
        <rFont val="Times New Roman"/>
        <family val="1"/>
      </rPr>
      <t xml:space="preserve">         </t>
    </r>
    <r>
      <rPr>
        <sz val="11"/>
        <color rgb="FF000000"/>
        <rFont val="Calibri"/>
        <family val="2"/>
        <scheme val="minor"/>
      </rPr>
      <t xml:space="preserve">If a cost-plus a percentage of cost contract type is found, these contract types are prohibited by 2 CFR 200.323(d) and require a new solicitation. </t>
    </r>
  </si>
  <si>
    <r>
      <t>·</t>
    </r>
    <r>
      <rPr>
        <sz val="7"/>
        <color rgb="FF000000"/>
        <rFont val="Times New Roman"/>
        <family val="1"/>
      </rPr>
      <t xml:space="preserve">         </t>
    </r>
    <r>
      <rPr>
        <sz val="11"/>
        <color rgb="FF000000"/>
        <rFont val="Calibri"/>
        <family val="2"/>
        <scheme val="minor"/>
      </rPr>
      <t>Attending State agency provided procurement training to increase knowledge of procurement standards; and</t>
    </r>
  </si>
  <si>
    <r>
      <t>·</t>
    </r>
    <r>
      <rPr>
        <sz val="7"/>
        <color rgb="FF000000"/>
        <rFont val="Times New Roman"/>
        <family val="1"/>
      </rPr>
      <t xml:space="preserve">         </t>
    </r>
    <r>
      <rPr>
        <sz val="11"/>
        <color rgb="FF000000"/>
        <rFont val="Calibri"/>
        <family val="2"/>
        <scheme val="minor"/>
      </rPr>
      <t xml:space="preserve">Assessing additional action required to achieve required corrective action, if needed.  This action will be assessed on a case-by-case basis, with assistance from the appropriate Regional Office.  </t>
    </r>
    <r>
      <rPr>
        <b/>
        <sz val="11"/>
        <color rgb="FF00B050"/>
        <rFont val="Calibri"/>
        <family val="2"/>
        <scheme val="minor"/>
      </rPr>
      <t>[NEW]</t>
    </r>
    <r>
      <rPr>
        <sz val="11"/>
        <color rgb="FF000000"/>
        <rFont val="Calibri"/>
        <family val="2"/>
        <scheme val="minor"/>
      </rPr>
      <t xml:space="preserve"> State agencies will maintain the results of all procurement reviews including all documentation for review by FNS during a Management Evaluation.  Files may be retained manually or electronically.</t>
    </r>
  </si>
  <si>
    <t>STEP FIVE:  State Agency Notifies SFAs of the Procurement Review Results</t>
  </si>
  <si>
    <t xml:space="preserve">After completing the review, State agencies will notify SFAs in writing of the results of a procurement review in the same manner as used for the AR.  Procurement reviews do not have the same transparency requirements as AR, though some State agencies may choose to post results.    </t>
  </si>
  <si>
    <r>
      <rPr>
        <b/>
        <sz val="12"/>
        <color rgb="FF00B050"/>
        <rFont val="Calibri"/>
        <family val="2"/>
        <scheme val="minor"/>
      </rPr>
      <t>[NEW]</t>
    </r>
    <r>
      <rPr>
        <b/>
        <sz val="12"/>
        <rFont val="Calibri"/>
        <family val="2"/>
        <scheme val="minor"/>
      </rPr>
      <t xml:space="preserve">   PROCUREMENT REVIEW DOCUMENTS.  </t>
    </r>
  </si>
  <si>
    <r>
      <t>Vendor Paid List/Summary of Total Expenditures by Vendor Report (</t>
    </r>
    <r>
      <rPr>
        <b/>
        <i/>
        <sz val="11"/>
        <rFont val="Calibri"/>
        <family val="2"/>
        <scheme val="minor"/>
      </rPr>
      <t>nonprofit food service account only</t>
    </r>
    <r>
      <rPr>
        <sz val="11"/>
        <rFont val="Calibri"/>
        <family val="2"/>
        <scheme val="minor"/>
      </rPr>
      <t>)</t>
    </r>
  </si>
  <si>
    <r>
      <t xml:space="preserve">Micro-purchases </t>
    </r>
    <r>
      <rPr>
        <sz val="11"/>
        <rFont val="Calibri"/>
        <family val="2"/>
        <scheme val="minor"/>
      </rPr>
      <t>(</t>
    </r>
    <r>
      <rPr>
        <i/>
        <sz val="11"/>
        <rFont val="Calibri"/>
        <family val="2"/>
        <scheme val="minor"/>
      </rPr>
      <t>Vendor transactions selected for review</t>
    </r>
    <r>
      <rPr>
        <b/>
        <sz val="11"/>
        <rFont val="Calibri"/>
        <family val="2"/>
        <scheme val="minor"/>
      </rPr>
      <t>)</t>
    </r>
  </si>
  <si>
    <r>
      <t>Small Purchase Procurements</t>
    </r>
    <r>
      <rPr>
        <sz val="11"/>
        <rFont val="Calibri"/>
        <family val="2"/>
        <scheme val="minor"/>
      </rPr>
      <t xml:space="preserve"> (Vendors transactions selected for review)</t>
    </r>
  </si>
  <si>
    <r>
      <t xml:space="preserve">Formal Procurements </t>
    </r>
    <r>
      <rPr>
        <i/>
        <sz val="11"/>
        <rFont val="Calibri"/>
        <family val="2"/>
        <scheme val="minor"/>
      </rPr>
      <t>(Documents for vendors transactions selected for review)</t>
    </r>
  </si>
  <si>
    <r>
      <t xml:space="preserve">Processing </t>
    </r>
    <r>
      <rPr>
        <sz val="11"/>
        <rFont val="Calibri"/>
        <family val="2"/>
        <scheme val="minor"/>
      </rPr>
      <t xml:space="preserve">(When the State agency only uses cash-in-lieu of commodities, no procurement review of processing is required, </t>
    </r>
    <r>
      <rPr>
        <sz val="11"/>
        <color rgb="FFFF0000"/>
        <rFont val="Calibri"/>
        <family val="2"/>
        <scheme val="minor"/>
      </rPr>
      <t>or when SFAs include the procurement of processed end-products through a commercial food distributor.)</t>
    </r>
    <r>
      <rPr>
        <sz val="11"/>
        <rFont val="Calibri"/>
        <family val="2"/>
        <scheme val="minor"/>
      </rPr>
      <t xml:space="preserve"> Contact the State Distributing Agency (SDA) to determine who procures processors, SDAs or SFAs.  If SFAs, obtain the following documents)</t>
    </r>
  </si>
  <si>
    <t>The purpose of a comprehensive procurement review tool (Tool) is to provide State agencies with a resource for assessing compliance with procurement standards when a comprehensive procurement review is required.  State agencies have the option of conducting a comprehensive procurement review of all SFAs in every procurement review cycle, or adopting the revised procurement review process, self-certification, risk assessment, or comprehensive procurement review.  When adopting the revised procurement review process, a comprehensive procurement review is required for each SFA that:</t>
  </si>
  <si>
    <r>
      <t>·</t>
    </r>
    <r>
      <rPr>
        <sz val="7"/>
        <color rgb="FFFF0000"/>
        <rFont val="Times New Roman"/>
        <family val="1"/>
      </rPr>
      <t xml:space="preserve">         </t>
    </r>
    <r>
      <rPr>
        <sz val="11"/>
        <color rgb="FFFF0000"/>
        <rFont val="Calibri"/>
        <family val="2"/>
        <scheme val="minor"/>
      </rPr>
      <t>Expends over $750,000 in Program funds; contracts with third-party entities; did not receive a procurement review in the prior State agency procurement review cycle; identified the risk of non-compliance in risk assessment; or requests a procurement review in lieu of self-certification at least once in the State agency procurement review cycle.</t>
    </r>
  </si>
  <si>
    <r>
      <t xml:space="preserve">     o   Obtain a “vendor paid list” may be of the prior year, or </t>
    </r>
    <r>
      <rPr>
        <sz val="12"/>
        <color rgb="FFFF0000"/>
        <rFont val="Calibri"/>
        <family val="2"/>
        <scheme val="minor"/>
      </rPr>
      <t xml:space="preserve"> current year, at the State agencies discretion.  When a review is scheduled early in a school year, the State agency may review documentation from the prior year, or if the procurement process changed from the prior year, the State agency may review the current year to ensure the current process is compliant.  If the State agency does not specify the current year or prior year, SFAs are encouraged to clarify the information.  </t>
    </r>
  </si>
  <si>
    <r>
      <t xml:space="preserve">If the review will occur </t>
    </r>
    <r>
      <rPr>
        <b/>
        <sz val="12"/>
        <color theme="1"/>
        <rFont val="Calibri"/>
        <family val="2"/>
        <scheme val="minor"/>
      </rPr>
      <t>on</t>
    </r>
    <r>
      <rPr>
        <sz val="12"/>
        <color theme="1"/>
        <rFont val="Calibri"/>
        <family val="2"/>
        <scheme val="minor"/>
      </rPr>
      <t xml:space="preserve">-site, the requested procurement documentation will either be reviewed on-site or both on-site and off-site, as necessary.  The entrance conference, review, and exit conference  </t>
    </r>
    <r>
      <rPr>
        <sz val="12"/>
        <color rgb="FFFF0000"/>
        <rFont val="Calibri"/>
        <family val="2"/>
        <scheme val="minor"/>
      </rPr>
      <t xml:space="preserve">may be conducted off-site or on-site, at the State agency's discretion.   </t>
    </r>
  </si>
  <si>
    <r>
      <rPr>
        <b/>
        <sz val="12"/>
        <color theme="1"/>
        <rFont val="Calibri"/>
        <family val="2"/>
        <scheme val="minor"/>
      </rPr>
      <t>SFA Procurement Table</t>
    </r>
    <r>
      <rPr>
        <sz val="12"/>
        <color theme="1"/>
        <rFont val="Calibri"/>
        <family val="2"/>
        <scheme val="minor"/>
      </rPr>
      <t xml:space="preserve">.  This table is used to identify the:  </t>
    </r>
  </si>
  <si>
    <t xml:space="preserve">     Information regarding their purchases by procurement method used; vendors; number of purchases; total paid to vendor; and goods/services purchased.  </t>
  </si>
  <si>
    <t>o   Current or prior year value of USDA Food planned assistance levels for processing contracts.  This information is not required when the State agency provides cash-in-lieu of commodities, conducts the procurement process for SFAs, or when the SFA includes the purchase of processed-end products in its solicitation for a commercial food distributor.</t>
  </si>
  <si>
    <t>Corrective action can take various forms, to include:</t>
  </si>
  <si>
    <t>d. Additional action on a case-by-case basis with assistance from the appropriate FNS Regional Office.</t>
  </si>
  <si>
    <r>
      <t>FSMC – Review Year (</t>
    </r>
    <r>
      <rPr>
        <b/>
        <i/>
        <sz val="11"/>
        <color rgb="FF000000"/>
        <rFont val="Calibri"/>
        <family val="2"/>
        <scheme val="minor"/>
      </rPr>
      <t>Reviews renewal/amendments, if not reviewed in base year</t>
    </r>
    <r>
      <rPr>
        <b/>
        <sz val="11"/>
        <color rgb="FF000000"/>
        <rFont val="Calibri"/>
        <family val="2"/>
        <scheme val="minor"/>
      </rPr>
      <t xml:space="preserve">) </t>
    </r>
  </si>
  <si>
    <r>
      <t xml:space="preserve">   </t>
    </r>
    <r>
      <rPr>
        <sz val="11"/>
        <color rgb="FF000000"/>
        <rFont val="Calibri"/>
        <family val="2"/>
        <scheme val="minor"/>
      </rPr>
      <t>FSMC invoices</t>
    </r>
  </si>
  <si>
    <r>
      <rPr>
        <sz val="11"/>
        <color rgb="FF000000"/>
        <rFont val="Wingdings"/>
        <charset val="2"/>
      </rPr>
      <t xml:space="preserve">    </t>
    </r>
    <r>
      <rPr>
        <sz val="9.9"/>
        <color rgb="FF000000"/>
        <rFont val="Calibri"/>
        <family val="2"/>
      </rPr>
      <t xml:space="preserve"> </t>
    </r>
    <r>
      <rPr>
        <sz val="11"/>
        <color rgb="FF000000"/>
        <rFont val="Calibri"/>
        <family val="2"/>
        <scheme val="minor"/>
      </rPr>
      <t>Reconciliation for USDA Foods (both fixed-price &amp; cost-reimbursable contracts)</t>
    </r>
  </si>
  <si>
    <r>
      <rPr>
        <sz val="11"/>
        <color rgb="FF000000"/>
        <rFont val="Wingdings"/>
        <charset val="2"/>
      </rPr>
      <t xml:space="preserve">    </t>
    </r>
    <r>
      <rPr>
        <sz val="11"/>
        <color rgb="FF000000"/>
        <rFont val="Calibri"/>
        <family val="2"/>
        <scheme val="minor"/>
      </rPr>
      <t>Reconciliation of discounts, rebates, and credits (cost-reimbursable contracts only)</t>
    </r>
  </si>
  <si>
    <r>
      <t xml:space="preserve">The purpose of a comprehensive procurement review tool (Tool) is to provide State agencies with a resource for </t>
    </r>
    <r>
      <rPr>
        <sz val="12"/>
        <color rgb="FFFF0000"/>
        <rFont val="Calibri"/>
        <family val="2"/>
        <scheme val="minor"/>
      </rPr>
      <t xml:space="preserve">assessing compliance with procurement standards when </t>
    </r>
    <r>
      <rPr>
        <sz val="12"/>
        <color theme="1"/>
        <rFont val="Calibri"/>
        <family val="2"/>
        <scheme val="minor"/>
      </rPr>
      <t xml:space="preserve">a comprehensive procurement review is required.  </t>
    </r>
    <r>
      <rPr>
        <sz val="12"/>
        <color rgb="FFFF0000"/>
        <rFont val="Calibri"/>
        <family val="2"/>
        <scheme val="minor"/>
      </rPr>
      <t>State agencies have the option of conducting a comprehensive procurement review of all school food authorities (SFAs) in every procurement review cycle, or adopting the revised procurement review process which includes self-certification, risk assessment, or comprehensive review.  When adopting the revised procurement review process, a comprehensive procurement review is required for each SFA that:
• Expends over $750,000 in Program funds; 
• Contracts with third-party entities; 
• Did not receive a procurement review in the prior State agency procurement review cycle;
• Identified the risk of non-compliance in the risk assessment; or 
• Requests a procurement review in lieu of self-certification at least once in every other State agency procurement review cycle.</t>
    </r>
    <r>
      <rPr>
        <sz val="12"/>
        <color theme="1"/>
        <rFont val="Calibri"/>
        <family val="2"/>
        <scheme val="minor"/>
      </rPr>
      <t xml:space="preserve">
If the State agency determines the SFA is </t>
    </r>
    <r>
      <rPr>
        <u/>
        <sz val="12"/>
        <color theme="1"/>
        <rFont val="Calibri"/>
        <family val="2"/>
        <scheme val="minor"/>
      </rPr>
      <t>not</t>
    </r>
    <r>
      <rPr>
        <sz val="12"/>
        <color theme="1"/>
        <rFont val="Calibri"/>
        <family val="2"/>
        <scheme val="minor"/>
      </rPr>
      <t xml:space="preserve"> compliant with Federal procurement requirements, lacks  documentation to support the history of its procurement processes, or fails to use the required procurement methods, etc., there is no need to complete the Tool. The State agency will document this lack of procurement documentation, provide technical assistance, establish findings, require a corrective action plan, as identified below, and work with the SFA to achieve compliance.  The State agency will document all efforts and the technical assistance provided. 
This Tool includes questions, regulations, and resources for evaluating </t>
    </r>
    <r>
      <rPr>
        <sz val="12"/>
        <color rgb="FFFF0000"/>
        <rFont val="Calibri"/>
        <family val="2"/>
        <scheme val="minor"/>
      </rPr>
      <t>SFA procurement</t>
    </r>
    <r>
      <rPr>
        <sz val="12"/>
        <color theme="1"/>
        <rFont val="Calibri"/>
        <family val="2"/>
        <scheme val="minor"/>
      </rPr>
      <t xml:space="preserve"> processes to assess compliance, capture technical assistance, establish findings, and require corrective actions, as applicable.  As with the prior version of the Tool, State agencies may use this Tool or develop/modify a State agency review resource and submit its procurement review tool to the appropriate FNS Regional Office for review and approval </t>
    </r>
    <r>
      <rPr>
        <sz val="12"/>
        <color rgb="FFFF0000"/>
        <rFont val="Calibri"/>
        <family val="2"/>
        <scheme val="minor"/>
      </rPr>
      <t>prior to implementation</t>
    </r>
    <r>
      <rPr>
        <sz val="12"/>
        <color theme="1"/>
        <rFont val="Calibri"/>
        <family val="2"/>
        <scheme val="minor"/>
      </rPr>
      <t xml:space="preserve">.  
</t>
    </r>
    <r>
      <rPr>
        <sz val="12"/>
        <color rgb="FF00B050"/>
        <rFont val="Calibri"/>
        <family val="2"/>
        <scheme val="minor"/>
      </rPr>
      <t>[NEW]</t>
    </r>
    <r>
      <rPr>
        <sz val="12"/>
        <color theme="1"/>
        <rFont val="Calibri"/>
        <family val="2"/>
        <scheme val="minor"/>
      </rPr>
      <t xml:space="preserve"> SP39-2017 Local Agency Procurement Reviews for School Food Authorities dated June 30, 2017, established flexibilities allowing State agencies to conduct procurement reviews on the same 3-year cycle as the Administrative Review (AR), or to conduct these reviews on an alternate cycle and notify the appropriate Regional Office.  Please note the review requirement in 7 CFR 210.19 (a)(5) for State agency’s to monitor SFAs that contract with a food service management company (FSMC) remains current.  
When using this Tool, State agencies may add questions to ensure compliance with State procurement regulations that may be more restrictive than Federal requirements.  States may tweak the </t>
    </r>
    <r>
      <rPr>
        <sz val="12"/>
        <color rgb="FFFF0000"/>
        <rFont val="Calibri"/>
        <family val="2"/>
        <scheme val="minor"/>
      </rPr>
      <t>Tool</t>
    </r>
    <r>
      <rPr>
        <sz val="12"/>
        <color theme="1"/>
        <rFont val="Calibri"/>
        <family val="2"/>
        <scheme val="minor"/>
      </rPr>
      <t xml:space="preserve"> questions </t>
    </r>
    <r>
      <rPr>
        <sz val="12"/>
        <color rgb="FFFF0000"/>
        <rFont val="Calibri"/>
        <family val="2"/>
        <scheme val="minor"/>
      </rPr>
      <t>pertaining to Federal requirements</t>
    </r>
    <r>
      <rPr>
        <sz val="12"/>
        <color theme="1"/>
        <rFont val="Calibri"/>
        <family val="2"/>
        <scheme val="minor"/>
      </rPr>
      <t xml:space="preserve"> to clarify them; however, States may not change the meaning of the questions or otherwise amend questions in such a way as to alter the intent.  
The State agency has the discretion to conduct the procurement reviews off-site, on-site or off-site/on-site as long as all documentation can be obtained as needed for review.  State agencies are to review all SFAs as planned in the State's procurement review cycle.  
  </t>
    </r>
  </si>
  <si>
    <r>
      <t xml:space="preserve">·       </t>
    </r>
    <r>
      <rPr>
        <u/>
        <sz val="12"/>
        <color theme="1"/>
        <rFont val="Calibri"/>
        <family val="2"/>
        <scheme val="minor"/>
      </rPr>
      <t>Micro-purchase Method</t>
    </r>
    <r>
      <rPr>
        <sz val="12"/>
        <color theme="1"/>
        <rFont val="Calibri"/>
        <family val="2"/>
        <scheme val="minor"/>
      </rPr>
      <t>:  The State agency will review one or more vendors used for purchases below the micro-purchase threshold (below $10,000, or more restrictive threshold ).  The reviewer will request documentation such as purchase orders and vendor receipts/invoices.</t>
    </r>
  </si>
  <si>
    <r>
      <t xml:space="preserve">* Date for the return of the completed SFA Procurement Table; and SFA vendor paid list (i.e., a summary report </t>
    </r>
    <r>
      <rPr>
        <sz val="11"/>
        <color rgb="FFFF0000"/>
        <rFont val="Calibri"/>
        <family val="2"/>
        <scheme val="minor"/>
      </rPr>
      <t xml:space="preserve">of vendors paid using Program funds.) This report will be referred to as vendor paid list throughout this instruction.  The State agency has the discretion of using the previous school year or current school year when reviews are conducted late in the year.  </t>
    </r>
  </si>
  <si>
    <t>Processing contracts – not applicable when the State provides cash-in-lieu of commodities, or when the State Distributing Agency conducts the competitive procurement process on behalf of all recipient agencies (SFAs in the National School Lunch Program).</t>
  </si>
  <si>
    <r>
      <t xml:space="preserve">TAB:  SFA Procurement Table </t>
    </r>
    <r>
      <rPr>
        <b/>
        <sz val="11"/>
        <color rgb="FF00B050"/>
        <rFont val="Calibri"/>
        <family val="2"/>
        <scheme val="minor"/>
      </rPr>
      <t>[NEW]</t>
    </r>
    <r>
      <rPr>
        <b/>
        <sz val="11"/>
        <color rgb="FF000000"/>
        <rFont val="Calibri"/>
        <family val="2"/>
        <scheme val="minor"/>
      </rPr>
      <t xml:space="preserve"> </t>
    </r>
    <r>
      <rPr>
        <sz val="11"/>
        <color rgb="FFFF0000"/>
        <rFont val="Calibri"/>
        <family val="2"/>
        <scheme val="minor"/>
      </rPr>
      <t xml:space="preserve">(Questions in each review tab populate </t>
    </r>
    <r>
      <rPr>
        <i/>
        <sz val="11"/>
        <color rgb="FFFF0000"/>
        <rFont val="Calibri"/>
        <family val="2"/>
        <scheme val="minor"/>
      </rPr>
      <t>only</t>
    </r>
    <r>
      <rPr>
        <sz val="11"/>
        <color rgb="FFFF0000"/>
        <rFont val="Calibri"/>
        <family val="2"/>
        <scheme val="minor"/>
      </rPr>
      <t>when the State agency selects a vendor contract for review using the dropdown box in the State agency only section of the SFA Procurement Table. If no questions are visible in the review tabs, return to the SFA Procurement Table and select a vendor contract for review.)</t>
    </r>
  </si>
  <si>
    <r>
      <rPr>
        <b/>
        <sz val="12"/>
        <color rgb="FF00B050"/>
        <rFont val="Calibri"/>
        <family val="2"/>
        <scheme val="minor"/>
      </rPr>
      <t xml:space="preserve">[NEW] </t>
    </r>
    <r>
      <rPr>
        <b/>
        <sz val="12"/>
        <rFont val="Calibri"/>
        <family val="2"/>
        <scheme val="minor"/>
      </rPr>
      <t>2)</t>
    </r>
    <r>
      <rPr>
        <b/>
        <sz val="12"/>
        <color rgb="FF00B050"/>
        <rFont val="Calibri"/>
        <family val="2"/>
        <scheme val="minor"/>
      </rPr>
      <t xml:space="preserve"> </t>
    </r>
    <r>
      <rPr>
        <b/>
        <sz val="12"/>
        <rFont val="Calibri"/>
        <family val="2"/>
        <scheme val="minor"/>
      </rPr>
      <t xml:space="preserve">Group Purchasing Efforts: </t>
    </r>
    <r>
      <rPr>
        <sz val="12"/>
        <rFont val="Calibri"/>
        <family val="2"/>
        <scheme val="minor"/>
      </rPr>
      <t xml:space="preserve"> Per SP 05-2017, </t>
    </r>
    <r>
      <rPr>
        <i/>
        <sz val="12"/>
        <rFont val="Calibri"/>
        <family val="2"/>
        <scheme val="minor"/>
      </rPr>
      <t>Q&amp;A Purchasing Goods and Services Using Cooperative Agreements, Agents, and Third-Party Services</t>
    </r>
    <r>
      <rPr>
        <sz val="12"/>
        <rFont val="Calibri"/>
        <family val="2"/>
        <scheme val="minor"/>
      </rPr>
      <t>, dated October 19, 2016, a third-party entity includes State procurement agency agreements, inter-agency agreements, group purchasing organizations, group buying organizations, and third-party vendors.  These entities may conduct procurement procedures for their members, but these procedures are not required to follow Program and government-wide regulations.  Therefore, SFAs may consider prices from these entities as</t>
    </r>
    <r>
      <rPr>
        <b/>
        <sz val="12"/>
        <rFont val="Calibri"/>
        <family val="2"/>
        <scheme val="minor"/>
      </rPr>
      <t xml:space="preserve"> one source </t>
    </r>
    <r>
      <rPr>
        <sz val="12"/>
        <rFont val="Calibri"/>
        <family val="2"/>
        <scheme val="minor"/>
      </rPr>
      <t>when conducting a competitive procurement process using Program and government-wide regulations.  For the question on memberships with a</t>
    </r>
    <r>
      <rPr>
        <sz val="12"/>
        <color rgb="FFFF0000"/>
        <rFont val="Calibri"/>
        <family val="2"/>
        <scheme val="minor"/>
      </rPr>
      <t xml:space="preserve"> third-party entity</t>
    </r>
    <r>
      <rPr>
        <sz val="12"/>
        <rFont val="Calibri"/>
        <family val="2"/>
        <scheme val="minor"/>
      </rPr>
      <t xml:space="preserve">, if the response is “yes” to the question, “does the LEA/SFA pay a membership to…” (these entities), the SFA will provide the organization name, and list this vendor by name in the table, method of procurement  used, and the value of purchases made from this entity.  This vendor will be selected by the State agency for review to determine if price was </t>
    </r>
    <r>
      <rPr>
        <b/>
        <sz val="12"/>
        <rFont val="Calibri"/>
        <family val="2"/>
        <scheme val="minor"/>
      </rPr>
      <t>one source</t>
    </r>
    <r>
      <rPr>
        <sz val="12"/>
        <rFont val="Calibri"/>
        <family val="2"/>
        <scheme val="minor"/>
      </rPr>
      <t xml:space="preserve"> when the SFA procured goods and services using these entities.</t>
    </r>
  </si>
  <si>
    <r>
      <rPr>
        <b/>
        <sz val="12"/>
        <color rgb="FF00B050"/>
        <rFont val="Calibri"/>
        <family val="2"/>
        <scheme val="minor"/>
      </rPr>
      <t xml:space="preserve">[NEW] </t>
    </r>
    <r>
      <rPr>
        <b/>
        <sz val="12"/>
        <color rgb="FFFF0000"/>
        <rFont val="Calibri"/>
        <family val="2"/>
        <scheme val="minor"/>
      </rPr>
      <t xml:space="preserve"> </t>
    </r>
    <r>
      <rPr>
        <b/>
        <sz val="12"/>
        <rFont val="Calibri"/>
        <family val="2"/>
        <scheme val="minor"/>
      </rPr>
      <t>1)</t>
    </r>
    <r>
      <rPr>
        <b/>
        <sz val="12"/>
        <color rgb="FFFF0000"/>
        <rFont val="Calibri"/>
        <family val="2"/>
        <scheme val="minor"/>
      </rPr>
      <t xml:space="preserve"> </t>
    </r>
    <r>
      <rPr>
        <b/>
        <sz val="12"/>
        <rFont val="Calibri"/>
        <family val="2"/>
        <scheme val="minor"/>
      </rPr>
      <t xml:space="preserve">Market Basket Analysis for Evaluation of Contract Award: </t>
    </r>
    <r>
      <rPr>
        <sz val="12"/>
        <rFont val="Calibri"/>
        <family val="2"/>
        <scheme val="minor"/>
      </rPr>
      <t xml:space="preserve"> SP 04-2018, </t>
    </r>
    <r>
      <rPr>
        <i/>
        <sz val="12"/>
        <rFont val="Calibri"/>
        <family val="2"/>
        <scheme val="minor"/>
      </rPr>
      <t>Market Basket Analysis for Evaluation of Contract Award</t>
    </r>
    <r>
      <rPr>
        <sz val="12"/>
        <rFont val="Calibri"/>
        <family val="2"/>
        <scheme val="minor"/>
      </rPr>
      <t>, dated January 18, 2018, explains how SFAs that use this process may be compliant with the procurement standards.  In short, a market basket analysis is a method of evaluating goods based on a representative sample in relation to the estimated contract value, the addition of goods, if allowed, and the limit to the contract value when additions are allowed.</t>
    </r>
  </si>
  <si>
    <r>
      <t>Tab: State agency Procurement Selection Chart</t>
    </r>
    <r>
      <rPr>
        <sz val="12"/>
        <color theme="1"/>
        <rFont val="Calibri"/>
        <family val="2"/>
        <scheme val="minor"/>
      </rPr>
      <t xml:space="preserve"> (</t>
    </r>
    <r>
      <rPr>
        <i/>
        <sz val="12"/>
        <color theme="1"/>
        <rFont val="Calibri"/>
        <family val="2"/>
        <scheme val="minor"/>
      </rPr>
      <t>Used by the State agency to select vendor contracts procured by the SFA using various procurement methods.)</t>
    </r>
  </si>
  <si>
    <t>Using the Procurement Selection Chart and the SFA vendor paid list, the State agency will select SFA procurements that will be reviewed.</t>
  </si>
  <si>
    <r>
      <t>·       Compare the table with the vendor paid list</t>
    </r>
    <r>
      <rPr>
        <sz val="12"/>
        <color theme="1"/>
        <rFont val="Calibri"/>
        <family val="2"/>
        <scheme val="minor"/>
      </rPr>
      <t xml:space="preserve"> provided by the SFA.  </t>
    </r>
  </si>
  <si>
    <r>
      <t xml:space="preserve">This comparison allows the State agency to determine if vendors are being </t>
    </r>
    <r>
      <rPr>
        <sz val="12"/>
        <color rgb="FFFF0000"/>
        <rFont val="Calibri"/>
        <family val="2"/>
        <scheme val="minor"/>
      </rPr>
      <t>paid using Program funds</t>
    </r>
    <r>
      <rPr>
        <sz val="12"/>
        <color theme="1"/>
        <rFont val="Calibri"/>
        <family val="2"/>
        <scheme val="minor"/>
      </rPr>
      <t xml:space="preserve"> but not included by the SFA in the SFA Procurement Table.  </t>
    </r>
  </si>
  <si>
    <r>
      <t xml:space="preserve">If the State agency determines vendors are </t>
    </r>
    <r>
      <rPr>
        <sz val="12"/>
        <color rgb="FFFF0000"/>
        <rFont val="Calibri"/>
        <family val="2"/>
        <scheme val="minor"/>
      </rPr>
      <t xml:space="preserve">paid using Program funds </t>
    </r>
    <r>
      <rPr>
        <sz val="12"/>
        <color theme="1"/>
        <rFont val="Calibri"/>
        <family val="2"/>
        <scheme val="minor"/>
      </rPr>
      <t>but not included in the SFA Procurement Table, the State agency will need to contact the SFA to determine why the procurements were not included in the SFA Table and if the vendors were competitively procured using small purchases, sealed bids</t>
    </r>
    <r>
      <rPr>
        <sz val="12"/>
        <color rgb="FFFF0000"/>
        <rFont val="Calibri"/>
        <family val="2"/>
        <scheme val="minor"/>
      </rPr>
      <t>/competitive proposals</t>
    </r>
    <r>
      <rPr>
        <sz val="12"/>
        <color theme="1"/>
        <rFont val="Calibri"/>
        <family val="2"/>
        <scheme val="minor"/>
      </rPr>
      <t xml:space="preserve">, FSMC or processing contracts, as applicable.  If the procurements were mistakenly omitted, the SFA or State agency will add them to the SFA Procurement Table for including in the review sample.  </t>
    </r>
  </si>
  <si>
    <r>
      <t>·       Formal procurement by s</t>
    </r>
    <r>
      <rPr>
        <u/>
        <sz val="12"/>
        <color theme="1"/>
        <rFont val="Calibri"/>
        <family val="2"/>
        <scheme val="minor"/>
      </rPr>
      <t>ealed bids or competitive proposals</t>
    </r>
    <r>
      <rPr>
        <sz val="12"/>
        <color theme="1"/>
        <rFont val="Calibri"/>
        <family val="2"/>
        <scheme val="minor"/>
      </rPr>
      <t xml:space="preserve">:  (Used for purchases above $250,000, or most restrictive threshold).  The procurements to review are prioritized as:    </t>
    </r>
  </si>
  <si>
    <t>After the State agency selects the procurements/vendors for review, the State agency must notify the SFA of the vendors selected and request all documentation pertaining to each.  The Stateagency will request copies of the:</t>
  </si>
  <si>
    <r>
      <t xml:space="preserve">  </t>
    </r>
    <r>
      <rPr>
        <b/>
        <sz val="12"/>
        <color rgb="FF00B050"/>
        <rFont val="Calibri"/>
        <family val="2"/>
        <scheme val="minor"/>
      </rPr>
      <t>[NEW]</t>
    </r>
    <r>
      <rPr>
        <sz val="12"/>
        <color rgb="FF00B050"/>
        <rFont val="Calibri"/>
        <family val="2"/>
        <scheme val="minor"/>
      </rPr>
      <t xml:space="preserve"> </t>
    </r>
    <r>
      <rPr>
        <sz val="12"/>
        <color rgb="FF000000"/>
        <rFont val="Calibri"/>
        <family val="2"/>
        <scheme val="minor"/>
      </rPr>
      <t xml:space="preserve">For SFAs with FSMC contracts, the State agency should not assume the SFA purchases everything through the FSMC; rather they will determine if other purchases are made using the vendor paid list and review the procurement method used for these purchases.  The same applies when the SFA purchases through a CN Cooperative or agent.  The State agency will need to review the vendor paid list to determine if the SFA purchases other goods and services from other sources and how these purchases were competitively procured.  </t>
    </r>
  </si>
  <si>
    <t xml:space="preserve"> STEP FOUR:  Provide technical assistance, establish findings, and require corrective action, as applicable.</t>
  </si>
  <si>
    <r>
      <t>The State agency has the discretion to conduct the procurement reviews off-site, on-site or off-site/on-site as long as all needed documentation can be obtained and reviewed by the State agency.</t>
    </r>
    <r>
      <rPr>
        <sz val="12"/>
        <color rgb="FFFF0000"/>
        <rFont val="Calibri"/>
        <family val="2"/>
        <scheme val="minor"/>
      </rPr>
      <t xml:space="preserve"> State agencies have the flexibility to establish their procurement review cycle.</t>
    </r>
    <r>
      <rPr>
        <sz val="12"/>
        <rFont val="Calibri"/>
        <family val="2"/>
        <scheme val="minor"/>
      </rPr>
      <t xml:space="preserve"> The procurement review may be conducted as part of the AR, or as a separate review, as determined by the State agency.  In addition to reviewing solicitation documents, State agencies will review bidder/offeror responses </t>
    </r>
    <r>
      <rPr>
        <sz val="12"/>
        <color rgb="FFFF0000"/>
        <rFont val="Calibri"/>
        <family val="2"/>
        <scheme val="minor"/>
      </rPr>
      <t>and supporting documentation</t>
    </r>
    <r>
      <rPr>
        <sz val="12"/>
        <rFont val="Calibri"/>
        <family val="2"/>
        <scheme val="minor"/>
      </rPr>
      <t xml:space="preserve">, contract award documents, and vendor invoices/receipts to ensure full and open competition is maximized and SFAs are monitoring contractor performance for compliance with specifications, terms, and conditions of contracts.  </t>
    </r>
  </si>
  <si>
    <t>School Food Authority Overview and Instructions for a Procurement Review</t>
  </si>
  <si>
    <r>
      <rPr>
        <b/>
        <sz val="12"/>
        <rFont val="Calibri"/>
        <family val="2"/>
        <scheme val="minor"/>
      </rPr>
      <t>New information, instructions, questions, and changes throughout the Tool  are designated in</t>
    </r>
    <r>
      <rPr>
        <b/>
        <sz val="12"/>
        <color rgb="FFFF0000"/>
        <rFont val="Calibri"/>
        <family val="2"/>
        <scheme val="minor"/>
      </rPr>
      <t xml:space="preserve"> red </t>
    </r>
    <r>
      <rPr>
        <b/>
        <sz val="12"/>
        <rFont val="Calibri"/>
        <family val="2"/>
        <scheme val="minor"/>
      </rPr>
      <t>font or with</t>
    </r>
    <r>
      <rPr>
        <b/>
        <sz val="12"/>
        <color rgb="FFFF0000"/>
        <rFont val="Calibri"/>
        <family val="2"/>
        <scheme val="minor"/>
      </rPr>
      <t xml:space="preserve"> </t>
    </r>
    <r>
      <rPr>
        <b/>
        <sz val="12"/>
        <color rgb="FF00B050"/>
        <rFont val="Calibri"/>
        <family val="2"/>
        <scheme val="minor"/>
      </rPr>
      <t xml:space="preserve">[NEW] </t>
    </r>
    <r>
      <rPr>
        <b/>
        <sz val="12"/>
        <rFont val="Calibri"/>
        <family val="2"/>
        <scheme val="minor"/>
      </rPr>
      <t xml:space="preserve">written in the leading language.  </t>
    </r>
  </si>
  <si>
    <t xml:space="preserve">The procurement of goods and services is a significant responsibility of a school food authority (SFA). Obtaining the most economical purchase should be considered in all purchases when using Federal funds.  Federal, state and local laws and regulations specify the procurement methods, terms and conditions SFAs competitively procure goods and services, award contracts, and oversee contractor performance.  State agency oversight is needed to ensure SFAs comply with the applicable provisions through audits, ARs, technical assistance, training guidance materials and by other means. </t>
  </si>
  <si>
    <t xml:space="preserve">In an effort to provide State agencies with a resource for use with procurement reviews, the USDA Food and Nutrition Service (FNS) created a Comprehensive Procurement Review Tool (Tool) that State agencies may use/modify to gather information for review.  The Tool provides the reviewer with questions, regulations, and resources for evaluating an SFA's procurement documentation to assess compliance, capture technical assistance, and establish findings, and required corrective action, as applicable.  The Tool is designed to help State agencies provide sufficient procurement oversight of SFAs.  </t>
  </si>
  <si>
    <t xml:space="preserve">The State agency conduct the procurement review using a step-by-step approach.  From notifying each SFA of a procurement review to closing the review, each step is intended to assess compliance while providing technical assistance in the area of procurement.  </t>
  </si>
  <si>
    <t>       Assess compliance by reviewing either on-site or off-site, or both</t>
  </si>
  <si>
    <t>       Report review results which may include technical assistance or findings of non-compliance</t>
  </si>
  <si>
    <t>STEP ONE:  Notifying SFAs of a procurement review.</t>
  </si>
  <si>
    <t>STEP TWO: Scheduling the Review</t>
  </si>
  <si>
    <r>
      <t xml:space="preserve">If the review will occur </t>
    </r>
    <r>
      <rPr>
        <b/>
        <sz val="12"/>
        <color theme="1"/>
        <rFont val="Calibri"/>
        <family val="2"/>
        <scheme val="minor"/>
      </rPr>
      <t>off</t>
    </r>
    <r>
      <rPr>
        <sz val="12"/>
        <color theme="1"/>
        <rFont val="Calibri"/>
        <family val="2"/>
        <scheme val="minor"/>
      </rPr>
      <t xml:space="preserve">-site, the SFA will need to provide the State agency with the requested procurement documentation for review.  The documentation may be provided either electronically via email or by regular mail.  The entrance conference, review, and exit conference </t>
    </r>
    <r>
      <rPr>
        <sz val="12"/>
        <color rgb="FFFF0000"/>
        <rFont val="Calibri"/>
        <family val="2"/>
        <scheme val="minor"/>
      </rPr>
      <t xml:space="preserve">may be conducted off-site, on-site, or both or on-site, at the State agency's discretion.  </t>
    </r>
  </si>
  <si>
    <t xml:space="preserve">The State may determine the review approach based on the SFA's document storage system, electronic or hard-copy, and the SFA's availability of electronically transmitting the documentation.  The State agency will discuss these options and include the method of review in their notification. </t>
  </si>
  <si>
    <t xml:space="preserve">STEP THREE: Documentation to be requested.  </t>
  </si>
  <si>
    <r>
      <t xml:space="preserve">The SFA will receive the SFA Procurement Table, part of the Tool used for the review by the State agency.  This table contains questions on the vendors supplying goods and services to the SFA. </t>
    </r>
    <r>
      <rPr>
        <sz val="12"/>
        <color rgb="FF00B050"/>
        <rFont val="Calibri"/>
        <family val="2"/>
        <scheme val="minor"/>
      </rPr>
      <t>[NEW]</t>
    </r>
    <r>
      <rPr>
        <sz val="12"/>
        <rFont val="Calibri"/>
        <family val="2"/>
        <scheme val="minor"/>
      </rPr>
      <t xml:space="preserve">  The SFA will designate if the method of purchasing is used by selecting:  "yes", "no", or "not applicable" and input information in the respective sections. </t>
    </r>
  </si>
  <si>
    <r>
      <t xml:space="preserve">     Memberships at retail and/or wholesale club warehouses </t>
    </r>
    <r>
      <rPr>
        <sz val="12"/>
        <color rgb="FFFF0000"/>
        <rFont val="Calibri"/>
        <family val="2"/>
        <scheme val="minor"/>
      </rPr>
      <t>or other third-party entities where purchases are made.</t>
    </r>
  </si>
  <si>
    <t xml:space="preserve">     Save and return the file to the State agency.  </t>
  </si>
  <si>
    <t xml:space="preserve">     Provide a vendor paid list (summary report of vendors paid from the nonprofit food service account).</t>
  </si>
  <si>
    <r>
      <rPr>
        <b/>
        <sz val="12"/>
        <color theme="1"/>
        <rFont val="Calibri"/>
        <family val="2"/>
        <scheme val="minor"/>
      </rPr>
      <t>Optional approach:</t>
    </r>
    <r>
      <rPr>
        <sz val="12"/>
        <color theme="1"/>
        <rFont val="Calibri"/>
        <family val="2"/>
        <scheme val="minor"/>
      </rPr>
      <t xml:space="preserve">  The State agency may choose not to send the SFA Procurement Table.  Rather, the State agency may request the SFA send only the vendor paid list.  In this case, the State agency will:</t>
    </r>
  </si>
  <si>
    <r>
      <t xml:space="preserve">     Interview the appropriate SFA representative to answer the questions regarding</t>
    </r>
    <r>
      <rPr>
        <sz val="12"/>
        <color rgb="FFFF0000"/>
        <rFont val="Calibri"/>
        <family val="2"/>
        <scheme val="minor"/>
      </rPr>
      <t xml:space="preserve"> their LEA micro-purchase and/or small purchase threshold</t>
    </r>
    <r>
      <rPr>
        <sz val="12"/>
        <color theme="1"/>
        <rFont val="Calibri"/>
        <family val="2"/>
        <scheme val="minor"/>
      </rPr>
      <t xml:space="preserve">, memberships, and group purchasing/involvement in SFA cooperatives and </t>
    </r>
    <r>
      <rPr>
        <sz val="12"/>
        <color rgb="FFFF0000"/>
        <rFont val="Calibri"/>
        <family val="2"/>
        <scheme val="minor"/>
      </rPr>
      <t>procurement methods used;</t>
    </r>
  </si>
  <si>
    <t xml:space="preserve">     Review the vendor paid list; and </t>
  </si>
  <si>
    <t xml:space="preserve">     Complete the SFA Procurement Table.</t>
  </si>
  <si>
    <t>STEP FOUR:  List of Documentation to Provide to the State</t>
  </si>
  <si>
    <t xml:space="preserve">   Vendor paid list;</t>
  </si>
  <si>
    <r>
      <t xml:space="preserve">   Supporting procurement documentation (solicitations, evaluations, and contracts, </t>
    </r>
    <r>
      <rPr>
        <sz val="12"/>
        <color rgb="FFFF0000"/>
        <rFont val="Calibri"/>
        <family val="2"/>
        <scheme val="minor"/>
      </rPr>
      <t>plus copies of 3 vendor invoices</t>
    </r>
    <r>
      <rPr>
        <sz val="12"/>
        <color theme="1"/>
        <rFont val="Calibri"/>
        <family val="2"/>
        <scheme val="minor"/>
      </rPr>
      <t xml:space="preserve">) for each vendor selected for review [2 CFR 200.318(i)]  </t>
    </r>
    <r>
      <rPr>
        <i/>
        <sz val="12"/>
        <color rgb="FFFF0000"/>
        <rFont val="Calibri"/>
        <family val="2"/>
        <scheme val="minor"/>
      </rPr>
      <t xml:space="preserve">In the event the SFA lacks documentation to support procurements, the SA will document this and proceed with technical assistance and findings to include a corrective action plan as identified below. </t>
    </r>
  </si>
  <si>
    <t>o   Solicitation documentation (copies of small purchase price/rate quotes and/or sealed bids/competitive proposals issued and advertisements published, as applicable)</t>
  </si>
  <si>
    <t>o   Evaluation and scoring results used to award contracts (for competitive proposals – RFPs)</t>
  </si>
  <si>
    <t xml:space="preserve">o   Supporting documentation, such as purchase orders and/or receipts/invoices for vendors selected for review (2 CFR 200.318(i)).  The State agency reviewer will examine three receipts from each vendor selected for review.  The State agency has the discretion to request receipts/invoices as follows:  Three invoices provided in one month from the vendor; one invoice/month for a three month period; or otherwise as the State agency chooses.  </t>
  </si>
  <si>
    <t>o   Amended contract language, as applicable  (The State agency will need to review amended contracts to determine if a material change was created.)</t>
  </si>
  <si>
    <t>STEP FIVE:  Procurement Selection Chart</t>
  </si>
  <si>
    <r>
      <t xml:space="preserve">·       Processing contracts - </t>
    </r>
    <r>
      <rPr>
        <b/>
        <sz val="12"/>
        <color rgb="FF00B050"/>
        <rFont val="Calibri"/>
        <family val="2"/>
        <scheme val="minor"/>
      </rPr>
      <t xml:space="preserve">[NEW] </t>
    </r>
    <r>
      <rPr>
        <sz val="12"/>
        <rFont val="Calibri"/>
        <family val="2"/>
        <scheme val="minor"/>
      </rPr>
      <t xml:space="preserve"> unless the State is approved to use cash in-lieu-of commodities, the State agency will not conduct a review of the processing tab.</t>
    </r>
  </si>
  <si>
    <t xml:space="preserve">STEP SIX: Conducting the Review  </t>
  </si>
  <si>
    <t xml:space="preserve">·       Sealed bids/Competitive proposals:  </t>
  </si>
  <si>
    <t>o   Sealed bids/Competitive proposals</t>
  </si>
  <si>
    <t>o   Processing Contracts--unless the State is approved to use cash in-lieu-of commodities, the State agency will not conduct a review of the processing tab</t>
  </si>
  <si>
    <r>
      <t xml:space="preserve">What’s in each tab?  Each tab includes a list of questions asking if the SFA was in compliance with specific Federal procurement requirements.  The questions help the State agency review the SFA's procedures from the solicitation, evaluation, and contract award process through the oversight of contracts.  </t>
    </r>
    <r>
      <rPr>
        <sz val="12"/>
        <color rgb="FF00B050"/>
        <rFont val="Calibri"/>
        <family val="2"/>
        <scheme val="minor"/>
      </rPr>
      <t xml:space="preserve">[NEW] </t>
    </r>
    <r>
      <rPr>
        <sz val="12"/>
        <color theme="1"/>
        <rFont val="Calibri"/>
        <family val="2"/>
        <scheme val="minor"/>
      </rPr>
      <t xml:space="preserve"> All of the questions are tied to a procurement regulation found in the Program or government-wide regulations in 7 CFR 210.21 and 2 CFR 200.  Regulations may be found at:  www.ecfr.gov , Title 2 and Title 7. </t>
    </r>
  </si>
  <si>
    <t>STEP SEVEN:  Reporting the results of the review:  Summary of Findings Tabs</t>
  </si>
  <si>
    <r>
      <t xml:space="preserve">A Summary of Findings tab will compile review results.  The State agency may provide technical assistance, establish findings, and require corrective action, </t>
    </r>
    <r>
      <rPr>
        <sz val="12"/>
        <color rgb="FFFF0000"/>
        <rFont val="Calibri"/>
        <family val="2"/>
        <scheme val="minor"/>
      </rPr>
      <t xml:space="preserve">as applicable and document this information for follow-up, if applicable, and for review by FNS during a Management Evaluation.  </t>
    </r>
  </si>
  <si>
    <t>b. Re-soliciting contracts to ensure contracts are awarded to the responsive and responsible bidder/offeror whose price is lowest, or most advantageous, with price and other factors considered (2 CFR 200.320(d)) and with price as the primary factor as required in policy guidance July 2005 Procurement Questions, dated July 14, 2005).</t>
  </si>
  <si>
    <t>i. New solicitations and contracts must be finalized by the next Program year;</t>
  </si>
  <si>
    <t xml:space="preserve">The State agency has the discretion to conduct the procurement reviews off-site, on-site or off-site/on-site as long as all procurement documentation needed to conduct the review can be obtained by the State agency.  The procurement review may be conducted as part of the administrative Review, or as a separate review, as determined by the State agency.  State agencies adopting the revised procurement review process will conduct a comprehensive procurement review at least once in every other procurement review cycle.  State agencies may add questions to the Tool to ensure compliance with State procurement regulations that may be more restrictive than Federal requirements. </t>
  </si>
  <si>
    <t>Small Purchase Procurements (Vendor transactions selected for review)</t>
  </si>
  <si>
    <t>Formal Procurements (Documents for vendor contracts selected)</t>
  </si>
  <si>
    <t>FSMC – Base Year (For State agencies reviewing the SFA-FSMC base year. Solicitations and evaluation for FSMC(s) selected. Executed contract is on file at State agency)</t>
  </si>
  <si>
    <t>Processing-- (unless the State is approved to use cash in-lieu-of commodities, the State agency will not conduct a review of the processing tab)</t>
  </si>
  <si>
    <t>SFA NAME:</t>
  </si>
  <si>
    <r>
      <rPr>
        <b/>
        <sz val="12"/>
        <rFont val="Calibri"/>
        <family val="2"/>
        <scheme val="minor"/>
      </rPr>
      <t>Responsibilities</t>
    </r>
    <r>
      <rPr>
        <b/>
        <sz val="12"/>
        <color theme="1"/>
        <rFont val="Calibri"/>
        <family val="2"/>
        <scheme val="minor"/>
      </rPr>
      <t xml:space="preserve"> </t>
    </r>
    <r>
      <rPr>
        <sz val="12"/>
        <color theme="1"/>
        <rFont val="Calibri"/>
        <family val="2"/>
        <scheme val="minor"/>
      </rPr>
      <t>(Ex: conducts micropurchases, small purchase procedures, develops IFB/RFPs, monitoring etc.)</t>
    </r>
  </si>
  <si>
    <r>
      <rPr>
        <b/>
        <sz val="12"/>
        <color rgb="FF00B050"/>
        <rFont val="Calibri"/>
        <family val="2"/>
        <scheme val="minor"/>
      </rPr>
      <t xml:space="preserve">[NEW] </t>
    </r>
    <r>
      <rPr>
        <b/>
        <sz val="12"/>
        <rFont val="Calibri"/>
        <family val="2"/>
        <scheme val="minor"/>
      </rPr>
      <t xml:space="preserve">What is the LEA/SFA micro-purchase threshold?   </t>
    </r>
  </si>
  <si>
    <r>
      <rPr>
        <b/>
        <sz val="12"/>
        <color rgb="FF00B050"/>
        <rFont val="Calibri"/>
        <family val="2"/>
        <scheme val="minor"/>
      </rPr>
      <t xml:space="preserve">[NEW] </t>
    </r>
    <r>
      <rPr>
        <b/>
        <sz val="12"/>
        <rFont val="Calibri"/>
        <family val="2"/>
        <scheme val="minor"/>
      </rPr>
      <t xml:space="preserve">What is the STATE micro-purchase threshold, if applicable?   </t>
    </r>
  </si>
  <si>
    <t xml:space="preserve">What is the LEA/SFA small purchase threshold?   </t>
  </si>
  <si>
    <t xml:space="preserve">What is the STATE small purchase threshold, if applicable?   </t>
  </si>
  <si>
    <t>Group Purchasing Effort/Name</t>
  </si>
  <si>
    <r>
      <rPr>
        <b/>
        <sz val="12"/>
        <rFont val="Calibri"/>
        <family val="2"/>
        <scheme val="minor"/>
      </rPr>
      <t>Group Type</t>
    </r>
    <r>
      <rPr>
        <b/>
        <sz val="12"/>
        <color rgb="FFFF0000"/>
        <rFont val="Calibri"/>
        <family val="2"/>
        <scheme val="minor"/>
      </rPr>
      <t xml:space="preserve"> (CN Cooperative, Agent, 3rd Party)</t>
    </r>
  </si>
  <si>
    <t>Vendor Name</t>
  </si>
  <si>
    <t>Total Paid to Vendor (At/below $250,000 or above $250,000</t>
  </si>
  <si>
    <r>
      <t xml:space="preserve"># Purchases made from this vendor during SY?  </t>
    </r>
    <r>
      <rPr>
        <b/>
        <i/>
        <sz val="12"/>
        <rFont val="Calibri"/>
        <family val="2"/>
        <scheme val="minor"/>
      </rPr>
      <t>(one time vs multiple)</t>
    </r>
  </si>
  <si>
    <t xml:space="preserve"> Was more than one response received to this solicitation?</t>
  </si>
  <si>
    <t>Was this contract obtained using a CN Coop/Agent/3rd-party entity?</t>
  </si>
  <si>
    <t>Was contract amended after award?</t>
  </si>
  <si>
    <r>
      <rPr>
        <b/>
        <sz val="14"/>
        <color rgb="FF66CCFF"/>
        <rFont val="Calibri"/>
        <family val="2"/>
        <scheme val="minor"/>
      </rPr>
      <t>Food Service Management Company (FSMC) Contracts</t>
    </r>
    <r>
      <rPr>
        <b/>
        <sz val="12"/>
        <color rgb="FF66CCFF"/>
        <rFont val="Calibri"/>
        <family val="2"/>
        <scheme val="minor"/>
      </rPr>
      <t xml:space="preserve">  </t>
    </r>
    <r>
      <rPr>
        <b/>
        <sz val="12"/>
        <color rgb="FFFF0000"/>
        <rFont val="Calibri"/>
        <family val="2"/>
        <scheme val="minor"/>
      </rPr>
      <t>SFA Instructions:</t>
    </r>
    <r>
      <rPr>
        <b/>
        <sz val="12"/>
        <color theme="0"/>
        <rFont val="Calibri"/>
        <family val="2"/>
        <scheme val="minor"/>
      </rPr>
      <t xml:space="preserve"> </t>
    </r>
    <r>
      <rPr>
        <b/>
        <i/>
        <sz val="12"/>
        <color theme="0"/>
        <rFont val="Calibri"/>
        <family val="2"/>
        <scheme val="minor"/>
      </rPr>
      <t>Answer if a FSMC Is contracted by selecting "yes", "no" or "not applicable" then input information below, if used.</t>
    </r>
  </si>
  <si>
    <r>
      <rPr>
        <b/>
        <sz val="14"/>
        <color rgb="FF66CCFF"/>
        <rFont val="Calibri"/>
        <family val="2"/>
        <scheme val="minor"/>
      </rPr>
      <t>Formal Contracts:  Sealed Bids/Competitive Proposals</t>
    </r>
    <r>
      <rPr>
        <b/>
        <sz val="12"/>
        <color theme="0"/>
        <rFont val="Calibri"/>
        <family val="2"/>
        <scheme val="minor"/>
      </rPr>
      <t xml:space="preserve"> (contracts commonly valued above $250,000, or most restrictive small purchase threshold)  </t>
    </r>
    <r>
      <rPr>
        <b/>
        <sz val="12"/>
        <color rgb="FFFF0000"/>
        <rFont val="Calibri"/>
        <family val="2"/>
        <scheme val="minor"/>
      </rPr>
      <t xml:space="preserve"> SFA Instructions</t>
    </r>
    <r>
      <rPr>
        <b/>
        <sz val="12"/>
        <color theme="0"/>
        <rFont val="Calibri"/>
        <family val="2"/>
        <scheme val="minor"/>
      </rPr>
      <t xml:space="preserve">:  </t>
    </r>
    <r>
      <rPr>
        <b/>
        <i/>
        <sz val="12"/>
        <color theme="0"/>
        <rFont val="Calibri"/>
        <family val="2"/>
        <scheme val="minor"/>
      </rPr>
      <t>Answer if formal procedures are used by selecting "yes," "no," or "not applicable," then input information below, if used.</t>
    </r>
  </si>
  <si>
    <r>
      <rPr>
        <b/>
        <sz val="14"/>
        <color rgb="FF66CCFF"/>
        <rFont val="Calibri"/>
        <family val="2"/>
        <scheme val="minor"/>
      </rPr>
      <t>Small Purchase/Informal Purchases</t>
    </r>
    <r>
      <rPr>
        <b/>
        <sz val="12"/>
        <color theme="0"/>
        <rFont val="Calibri"/>
        <family val="2"/>
        <scheme val="minor"/>
      </rPr>
      <t xml:space="preserve"> (Purchases valued below $250,000, or most restrictive threshold)   </t>
    </r>
    <r>
      <rPr>
        <b/>
        <sz val="12"/>
        <color rgb="FFFF0000"/>
        <rFont val="Calibri"/>
        <family val="2"/>
        <scheme val="minor"/>
      </rPr>
      <t>SFA Instructions:</t>
    </r>
    <r>
      <rPr>
        <b/>
        <sz val="12"/>
        <color theme="0"/>
        <rFont val="Calibri"/>
        <family val="2"/>
        <scheme val="minor"/>
      </rPr>
      <t xml:space="preserve">  </t>
    </r>
    <r>
      <rPr>
        <b/>
        <i/>
        <sz val="12"/>
        <color theme="0"/>
        <rFont val="Calibri"/>
        <family val="2"/>
        <scheme val="minor"/>
      </rPr>
      <t>Answer if small purchase procedures are used by selecting "yes," "no," or "not applicable," then input information below, if used.</t>
    </r>
    <r>
      <rPr>
        <b/>
        <sz val="12"/>
        <color theme="0"/>
        <rFont val="Calibri"/>
        <family val="2"/>
        <scheme val="minor"/>
      </rPr>
      <t xml:space="preserve">
</t>
    </r>
  </si>
  <si>
    <r>
      <rPr>
        <b/>
        <sz val="14"/>
        <color rgb="FF66CCFF"/>
        <rFont val="Calibri"/>
        <family val="2"/>
        <scheme val="minor"/>
      </rPr>
      <t xml:space="preserve">Micro Purchases </t>
    </r>
    <r>
      <rPr>
        <b/>
        <sz val="14"/>
        <color theme="0"/>
        <rFont val="Calibri"/>
        <family val="2"/>
        <scheme val="minor"/>
      </rPr>
      <t xml:space="preserve">(Purchases valued below $10,000, or most restrictive threshold) </t>
    </r>
    <r>
      <rPr>
        <b/>
        <sz val="12"/>
        <color rgb="FFFF0000"/>
        <rFont val="Calibri"/>
        <family val="2"/>
        <scheme val="minor"/>
      </rPr>
      <t xml:space="preserve">SFA instructions: </t>
    </r>
    <r>
      <rPr>
        <b/>
        <sz val="12"/>
        <color theme="0"/>
        <rFont val="Calibri"/>
        <family val="2"/>
        <scheme val="minor"/>
      </rPr>
      <t xml:space="preserve"> </t>
    </r>
    <r>
      <rPr>
        <b/>
        <i/>
        <sz val="12"/>
        <color theme="0"/>
        <rFont val="Calibri"/>
        <family val="2"/>
        <scheme val="minor"/>
      </rPr>
      <t>Answer if micro-purchasing is used selecting "yes", "no," or "not applicable," then input information below, if used.</t>
    </r>
    <r>
      <rPr>
        <b/>
        <sz val="14"/>
        <color theme="0"/>
        <rFont val="Calibri"/>
        <family val="2"/>
        <scheme val="minor"/>
      </rPr>
      <t xml:space="preserve">
</t>
    </r>
  </si>
  <si>
    <r>
      <t xml:space="preserve">[NEW] </t>
    </r>
    <r>
      <rPr>
        <b/>
        <sz val="14"/>
        <color rgb="FF66CCFF"/>
        <rFont val="Calibri"/>
        <family val="2"/>
        <scheme val="minor"/>
      </rPr>
      <t>Group Purchasing Efforts</t>
    </r>
    <r>
      <rPr>
        <b/>
        <sz val="14"/>
        <color theme="0"/>
        <rFont val="Calibri"/>
        <family val="2"/>
        <scheme val="minor"/>
      </rPr>
      <t xml:space="preserve"> </t>
    </r>
    <r>
      <rPr>
        <b/>
        <sz val="12"/>
        <color theme="0"/>
        <rFont val="Calibri"/>
        <family val="2"/>
        <scheme val="minor"/>
      </rPr>
      <t xml:space="preserve">(CN Cooperative, Agent, Third-party) </t>
    </r>
    <r>
      <rPr>
        <b/>
        <sz val="12"/>
        <color rgb="FFFF0000"/>
        <rFont val="Calibri"/>
        <family val="2"/>
        <scheme val="minor"/>
      </rPr>
      <t>SFA Instructions:</t>
    </r>
    <r>
      <rPr>
        <b/>
        <sz val="12"/>
        <color theme="0"/>
        <rFont val="Calibri"/>
        <family val="2"/>
        <scheme val="minor"/>
      </rPr>
      <t xml:space="preserve">  </t>
    </r>
    <r>
      <rPr>
        <b/>
        <i/>
        <sz val="12"/>
        <color theme="0"/>
        <rFont val="Calibri"/>
        <family val="2"/>
        <scheme val="minor"/>
      </rPr>
      <t>Answer if a group purchasing effort is used by selecting "yes", "no" or "not applicable" then input information below, if used.</t>
    </r>
  </si>
  <si>
    <r>
      <t>[NEW]</t>
    </r>
    <r>
      <rPr>
        <b/>
        <sz val="14"/>
        <color theme="0"/>
        <rFont val="Calibri"/>
        <family val="2"/>
        <scheme val="minor"/>
      </rPr>
      <t xml:space="preserve"> </t>
    </r>
    <r>
      <rPr>
        <b/>
        <sz val="14"/>
        <color rgb="FF66CCFF"/>
        <rFont val="Calibri"/>
        <family val="2"/>
        <scheme val="minor"/>
      </rPr>
      <t>Market Basket Analysis for Evaluation of Contract Award</t>
    </r>
    <r>
      <rPr>
        <b/>
        <sz val="14"/>
        <color theme="0"/>
        <rFont val="Calibri"/>
        <family val="2"/>
        <scheme val="minor"/>
      </rPr>
      <t xml:space="preserve"> </t>
    </r>
    <r>
      <rPr>
        <b/>
        <sz val="12"/>
        <color rgb="FFFF0000"/>
        <rFont val="Calibri"/>
        <family val="2"/>
        <scheme val="minor"/>
      </rPr>
      <t>SFA Instructions:</t>
    </r>
    <r>
      <rPr>
        <b/>
        <sz val="12"/>
        <color theme="0"/>
        <rFont val="Calibri"/>
        <family val="2"/>
        <scheme val="minor"/>
      </rPr>
      <t xml:space="preserve">  </t>
    </r>
    <r>
      <rPr>
        <b/>
        <i/>
        <sz val="12"/>
        <color theme="0"/>
        <rFont val="Calibri"/>
        <family val="2"/>
        <scheme val="minor"/>
      </rPr>
      <t>Answer if market basket analysis is used by selecting "yes", "no" or "not applicable" then input information below, if used.</t>
    </r>
  </si>
  <si>
    <t>FSMC Name</t>
  </si>
  <si>
    <t>Did the SFA receive more than one response to its IFB/RFP?</t>
  </si>
  <si>
    <t xml:space="preserve">Was this vendor/contract obtained using a CN Coop/Agent/Third-Party Entity?  </t>
  </si>
  <si>
    <t xml:space="preserve">Was contract amended after award? </t>
  </si>
  <si>
    <r>
      <rPr>
        <b/>
        <sz val="14"/>
        <color rgb="FF00B0F0"/>
        <rFont val="Calibri"/>
        <family val="2"/>
        <scheme val="minor"/>
      </rPr>
      <t xml:space="preserve">Processing Contracts for USDA Foods </t>
    </r>
    <r>
      <rPr>
        <b/>
        <sz val="12"/>
        <color theme="0"/>
        <rFont val="Calibri"/>
        <family val="2"/>
        <scheme val="minor"/>
      </rPr>
      <t xml:space="preserve">  </t>
    </r>
    <r>
      <rPr>
        <b/>
        <sz val="12"/>
        <color rgb="FFFF0000"/>
        <rFont val="Calibri"/>
        <family val="2"/>
        <scheme val="minor"/>
      </rPr>
      <t>SFA Instructions:</t>
    </r>
    <r>
      <rPr>
        <b/>
        <sz val="12"/>
        <color theme="0"/>
        <rFont val="Calibri"/>
        <family val="2"/>
        <scheme val="minor"/>
      </rPr>
      <t xml:space="preserve">  </t>
    </r>
    <r>
      <rPr>
        <b/>
        <i/>
        <sz val="12"/>
        <color theme="0"/>
        <rFont val="Calibri"/>
        <family val="2"/>
        <scheme val="minor"/>
      </rPr>
      <t>Answer if processing contracts are solicited by selecting "yes", "no" or "not applicable" then input information below, if used.</t>
    </r>
  </si>
  <si>
    <t>Processor Name</t>
  </si>
  <si>
    <r>
      <rPr>
        <b/>
        <sz val="11"/>
        <color rgb="FF00B050"/>
        <rFont val="Calibri"/>
        <family val="2"/>
        <scheme val="minor"/>
      </rPr>
      <t>[NEW]</t>
    </r>
    <r>
      <rPr>
        <b/>
        <sz val="11"/>
        <color theme="1"/>
        <rFont val="Calibri"/>
        <family val="2"/>
        <scheme val="minor"/>
      </rPr>
      <t xml:space="preserve"> State agency instructions:</t>
    </r>
    <r>
      <rPr>
        <sz val="11"/>
        <color theme="1"/>
        <rFont val="Calibri"/>
        <family val="2"/>
        <scheme val="minor"/>
      </rPr>
      <t xml:space="preserve">  To determine the number of vendors/contracts for review, the reviewer will count the vendors using the forms above or the vendor paid list, then enter the number of vendors in column 2.  This number does not auto-populate as in the FNS Excel Tool.  Using the chart above, select the number of vendors for review as designated in the third column, then identify the number to review in column 4.  A minimum of 3 vendors will be selected for each procurement method, except sealed bids and competitive proposals (formal procurements).  A review of formal procurements may require as many as 6 contracts.  New sections are added to review when an SFA uses the market basket analysis for contract award and when third party entities are used.  For market basket analysis use SP 04-2018 for guidance when reviewing contracts if designated.  Questions are added to the tab, small purchase and formal procedures, if applicable.  When a contract is for processed end products using USDA Foods, the State agency will use the applicable procurement method AND the Processing tab for this review.    </t>
    </r>
  </si>
  <si>
    <r>
      <t xml:space="preserve">For third party entities, </t>
    </r>
    <r>
      <rPr>
        <sz val="11"/>
        <color theme="1"/>
        <rFont val="Calibri"/>
        <family val="2"/>
        <scheme val="minor"/>
      </rPr>
      <t xml:space="preserve">use Memo SP05-2017 for guidance with these entities. </t>
    </r>
    <r>
      <rPr>
        <b/>
        <sz val="11"/>
        <color theme="1"/>
        <rFont val="Calibri"/>
        <family val="2"/>
        <scheme val="minor"/>
      </rPr>
      <t xml:space="preserve"> CN Program operators/CN Program operator/CN State agency cooperatives, agents, and Third-party entities.  CN State agency cooperatives and agents </t>
    </r>
    <r>
      <rPr>
        <sz val="11"/>
        <color theme="1"/>
        <rFont val="Calibri"/>
        <family val="2"/>
        <scheme val="minor"/>
      </rPr>
      <t>must comply with the Program and government-wide regulations.  For third-party entities, these entities are not required to comply with the Program and government-wide regulations.  Therefore, SFAs conduct compliant procurement procedures using small purchase procedures sealed bids, and/or competitive proposals, and may consider the entity's prices as one source of prices to be considered in addition to other prices.  Paying a membership without competitively procuring the goods is a finding of non-compliance with Federal procurement standards. For all entities: use the applicable procurement method tab to review quotes, solicitations, evaluations, and contract awards to determine compliance.  For procured agents, review the solicitation for the agent, then the agent's solicitations and contracts using the Procurement Selection Chart.  If the SFA did not first properly procure the agent or third party using the Program and government-wide regulations, this is a finding.  If a properly procured agent did not then properly solicit for the distribution of goods/services using Program and the government-wide procurement standards, this is a finding.  When a contract is for processed end products using USDA Foods, the State agency will use the applicable procurement method AND the Processing tab for this review.</t>
    </r>
  </si>
  <si>
    <t>The procurement process for utilities, pest control, and cleaning services, etc.  predominately for the LEA and includes food service operations are NOT to be selected for a procurement review.  The AR resource management review ensures these are not double billed to the nonprofit school food service account.</t>
  </si>
  <si>
    <r>
      <rPr>
        <b/>
        <sz val="11"/>
        <color theme="1"/>
        <rFont val="Calibri"/>
        <family val="2"/>
        <scheme val="minor"/>
      </rPr>
      <t>Processing tab:</t>
    </r>
    <r>
      <rPr>
        <sz val="11"/>
        <color theme="1"/>
        <rFont val="Calibri"/>
        <family val="2"/>
        <scheme val="minor"/>
      </rPr>
      <t xml:space="preserve">  The State agency will use the applicable tab, SMALL PURCHASE or FORMAL PROCUREMENT tab to answer questions when reviewing contracts on the procurement of processors AND answer the questions in the PROCESSING Tab for contracts that include processed end products using USDA Foods.   All questions in the applicable procurement methods tab AND the Processing Tab must be answered to complete the review of Processed USDA Foods. This tab is not appicable when the State Distributing agency provides cash-in-lieu of commodities or conducts the competitive procurement process on behalf of all recipient agencies.</t>
    </r>
  </si>
  <si>
    <r>
      <rPr>
        <b/>
        <sz val="14"/>
        <color rgb="FF0066FF"/>
        <rFont val="Calibri"/>
        <family val="2"/>
        <scheme val="minor"/>
      </rPr>
      <t xml:space="preserve">Sealed Bids &amp; Competitive Procurements/Formal (IFB &amp; RFP) </t>
    </r>
    <r>
      <rPr>
        <b/>
        <sz val="12"/>
        <rFont val="Calibri"/>
        <family val="2"/>
        <scheme val="minor"/>
      </rPr>
      <t>(Commonly  a</t>
    </r>
    <r>
      <rPr>
        <b/>
        <i/>
        <sz val="12"/>
        <rFont val="Calibri"/>
        <family val="2"/>
        <scheme val="minor"/>
      </rPr>
      <t>bove $250,000 or most restrictive threshold</t>
    </r>
    <r>
      <rPr>
        <b/>
        <sz val="12"/>
        <rFont val="Calibri"/>
        <family val="2"/>
        <scheme val="minor"/>
      </rPr>
      <t xml:space="preserve">): </t>
    </r>
    <r>
      <rPr>
        <sz val="12"/>
        <rFont val="Calibri"/>
        <family val="2"/>
        <scheme val="minor"/>
      </rPr>
      <t>Selected procurements will not include FSMCs. See instructions to prioritize the selection of contracts for review.</t>
    </r>
  </si>
  <si>
    <r>
      <t xml:space="preserve">1) Is the SFA </t>
    </r>
    <r>
      <rPr>
        <b/>
        <sz val="12"/>
        <color theme="1"/>
        <rFont val="Calibri"/>
        <family val="2"/>
        <scheme val="minor"/>
      </rPr>
      <t>written code of conduct</t>
    </r>
    <r>
      <rPr>
        <sz val="12"/>
        <color theme="1"/>
        <rFont val="Calibri"/>
        <family val="2"/>
        <scheme val="minor"/>
      </rPr>
      <t xml:space="preserve"> compliant?  (NOTE:  If non-compliant, record the non-compliant portion in the comment box with the technical assistance provided.)</t>
    </r>
  </si>
  <si>
    <r>
      <rPr>
        <b/>
        <sz val="12"/>
        <rFont val="Calibri"/>
        <family val="2"/>
        <scheme val="minor"/>
      </rPr>
      <t xml:space="preserve">SA Instructions: </t>
    </r>
    <r>
      <rPr>
        <sz val="12"/>
        <rFont val="Calibri"/>
        <family val="2"/>
        <scheme val="minor"/>
      </rPr>
      <t xml:space="preserve">  Obtain the SFA/LEA </t>
    </r>
    <r>
      <rPr>
        <b/>
        <sz val="12"/>
        <rFont val="Calibri"/>
        <family val="2"/>
        <scheme val="minor"/>
      </rPr>
      <t>written codes of conduct and written procurement procedures</t>
    </r>
    <r>
      <rPr>
        <sz val="12"/>
        <rFont val="Calibri"/>
        <family val="2"/>
        <scheme val="minor"/>
      </rPr>
      <t xml:space="preserve"> [2 CFR 200.318(c)(1)] </t>
    </r>
    <r>
      <rPr>
        <sz val="12"/>
        <color rgb="FF00B050"/>
        <rFont val="Calibri"/>
        <family val="2"/>
        <scheme val="minor"/>
      </rPr>
      <t xml:space="preserve"> [NEW]</t>
    </r>
    <r>
      <rPr>
        <sz val="12"/>
        <rFont val="Calibri"/>
        <family val="2"/>
        <scheme val="minor"/>
      </rPr>
      <t xml:space="preserve"> (NOTE:  compliant </t>
    </r>
    <r>
      <rPr>
        <b/>
        <sz val="12"/>
        <rFont val="Calibri"/>
        <family val="2"/>
        <scheme val="minor"/>
      </rPr>
      <t>code of conduct = 1)</t>
    </r>
    <r>
      <rPr>
        <sz val="12"/>
        <rFont val="Calibri"/>
        <family val="2"/>
        <scheme val="minor"/>
      </rPr>
      <t xml:space="preserve">Prohibits officers, employees and agents from soliciting or accepting gratuities, favors or anything of monetary value from contractors or parties of subcontracts; </t>
    </r>
    <r>
      <rPr>
        <b/>
        <sz val="12"/>
        <rFont val="Calibri"/>
        <family val="2"/>
        <scheme val="minor"/>
      </rPr>
      <t>2)</t>
    </r>
    <r>
      <rPr>
        <sz val="12"/>
        <rFont val="Calibri"/>
        <family val="2"/>
        <scheme val="minor"/>
      </rPr>
      <t xml:space="preserve"> Provides for disciplinary actions for violations by officers, employees, or agents; </t>
    </r>
    <r>
      <rPr>
        <b/>
        <sz val="12"/>
        <rFont val="Calibri"/>
        <family val="2"/>
        <scheme val="minor"/>
      </rPr>
      <t>3)</t>
    </r>
    <r>
      <rPr>
        <sz val="12"/>
        <rFont val="Calibri"/>
        <family val="2"/>
        <scheme val="minor"/>
      </rPr>
      <t xml:space="preserve"> Includes language that the SFA will neither solicit nor accept gratuities, favors, or anything of monetary value from contractors or parties to subcontracts, </t>
    </r>
    <r>
      <rPr>
        <b/>
        <sz val="12"/>
        <rFont val="Calibri"/>
        <family val="2"/>
        <scheme val="minor"/>
      </rPr>
      <t xml:space="preserve">OR </t>
    </r>
    <r>
      <rPr>
        <sz val="12"/>
        <rFont val="Calibri"/>
        <family val="2"/>
        <scheme val="minor"/>
      </rPr>
      <t>language with standards for situations when the financial interest is not substantial or the gift is unsolicited and of nominal value.  (</t>
    </r>
    <r>
      <rPr>
        <b/>
        <sz val="12"/>
        <rFont val="Calibri"/>
        <family val="2"/>
        <scheme val="minor"/>
      </rPr>
      <t xml:space="preserve">NOTE: </t>
    </r>
    <r>
      <rPr>
        <sz val="12"/>
        <rFont val="Calibri"/>
        <family val="2"/>
        <scheme val="minor"/>
      </rPr>
      <t xml:space="preserve"> If nominal value allowed, record dollar value allowed in comment box.)  For </t>
    </r>
    <r>
      <rPr>
        <b/>
        <sz val="12"/>
        <rFont val="Calibri"/>
        <family val="2"/>
        <scheme val="minor"/>
      </rPr>
      <t>written procurement procedures</t>
    </r>
    <r>
      <rPr>
        <sz val="12"/>
        <rFont val="Calibri"/>
        <family val="2"/>
        <scheme val="minor"/>
      </rPr>
      <t xml:space="preserve">, regulations only specify compliance with Federal, State, and local procurement standards.)  </t>
    </r>
    <r>
      <rPr>
        <b/>
        <sz val="12"/>
        <rFont val="Calibri"/>
        <family val="2"/>
        <scheme val="minor"/>
      </rPr>
      <t>RESPONSE:  YES= Compliant; NO= Non-compliant.</t>
    </r>
  </si>
  <si>
    <t>$250,000 or below</t>
  </si>
  <si>
    <t>Above $250,000 but below $500,000</t>
  </si>
  <si>
    <t>Above $250,000</t>
  </si>
  <si>
    <t>Between $10,000 and $250,000</t>
  </si>
  <si>
    <t>$10,000 or below</t>
  </si>
  <si>
    <t>Below $250,000 or the State's/LEA's small purchase threshold</t>
  </si>
  <si>
    <t>$250,000 or above but below $500,000</t>
  </si>
  <si>
    <t>Below $10,000</t>
  </si>
  <si>
    <t>$10,000 or above but below $250,000</t>
  </si>
  <si>
    <t>BELOW $10,000</t>
  </si>
  <si>
    <t>BELOW $250,000</t>
  </si>
  <si>
    <t>ABOVE $250,000</t>
  </si>
  <si>
    <r>
      <t xml:space="preserve">STATE AGENCY INSTRUCTIONS: </t>
    </r>
    <r>
      <rPr>
        <sz val="12"/>
        <rFont val="Calibri"/>
        <family val="2"/>
        <scheme val="minor"/>
      </rPr>
      <t xml:space="preserve">Prior to answering the questions in this tab, obtain copies of SFA procurement solicitation documents, specifications, evaluation criteria and contract terms for each contract reviewed and per the contract selection chart. </t>
    </r>
    <r>
      <rPr>
        <b/>
        <sz val="12"/>
        <rFont val="Calibri"/>
        <family val="2"/>
        <scheme val="minor"/>
      </rPr>
      <t>RESPONSE:</t>
    </r>
    <r>
      <rPr>
        <sz val="12"/>
        <rFont val="Calibri"/>
        <family val="2"/>
        <scheme val="minor"/>
      </rPr>
      <t xml:space="preserve">  </t>
    </r>
    <r>
      <rPr>
        <b/>
        <sz val="12"/>
        <rFont val="Calibri"/>
        <family val="2"/>
        <scheme val="minor"/>
      </rPr>
      <t>YES=</t>
    </r>
    <r>
      <rPr>
        <sz val="12"/>
        <rFont val="Calibri"/>
        <family val="2"/>
        <scheme val="minor"/>
      </rPr>
      <t xml:space="preserve"> Compliant; </t>
    </r>
    <r>
      <rPr>
        <b/>
        <sz val="12"/>
        <rFont val="Calibri"/>
        <family val="2"/>
        <scheme val="minor"/>
      </rPr>
      <t>NO=</t>
    </r>
    <r>
      <rPr>
        <sz val="12"/>
        <rFont val="Calibri"/>
        <family val="2"/>
        <scheme val="minor"/>
      </rPr>
      <t xml:space="preserve"> Non-compliant; </t>
    </r>
    <r>
      <rPr>
        <b/>
        <sz val="12"/>
        <rFont val="Calibri"/>
        <family val="2"/>
        <scheme val="minor"/>
      </rPr>
      <t>NA=</t>
    </r>
    <r>
      <rPr>
        <sz val="12"/>
        <rFont val="Calibri"/>
        <family val="2"/>
        <scheme val="minor"/>
      </rPr>
      <t xml:space="preserve"> Not applicable.  </t>
    </r>
    <r>
      <rPr>
        <b/>
        <sz val="12"/>
        <rFont val="Calibri"/>
        <family val="2"/>
        <scheme val="minor"/>
      </rPr>
      <t xml:space="preserve"> </t>
    </r>
  </si>
  <si>
    <r>
      <rPr>
        <b/>
        <sz val="12"/>
        <color rgb="FFFF0000"/>
        <rFont val="Calibri"/>
        <family val="2"/>
        <scheme val="minor"/>
      </rPr>
      <t>If no questions appear below, either the SFA does not procure processors of processed end-products or the State agency did not select vendors for review in the SFA Procurement Table tab</t>
    </r>
    <r>
      <rPr>
        <b/>
        <sz val="12"/>
        <rFont val="Calibri"/>
        <family val="2"/>
        <scheme val="minor"/>
      </rPr>
      <t xml:space="preserve">.  Section A:  STATE AGENCY INSTRUCTIONS: </t>
    </r>
    <r>
      <rPr>
        <b/>
        <sz val="12"/>
        <color rgb="FF00B050"/>
        <rFont val="Calibri"/>
        <family val="2"/>
        <scheme val="minor"/>
      </rPr>
      <t>IN ADDITION TO THE APPLICABLE PROCUREMENT METHODS TAB, USE THIS TAB FOR CONTRACTS SELECTED WHERE PROCESSED END PRODUCTS FOR USDA FOODS ARE PROCURED.</t>
    </r>
    <r>
      <rPr>
        <b/>
        <sz val="12"/>
        <rFont val="Calibri"/>
        <family val="2"/>
        <scheme val="minor"/>
      </rPr>
      <t xml:space="preserve">  The State agency conducting the review of processing needs to know:  1) </t>
    </r>
    <r>
      <rPr>
        <sz val="12"/>
        <rFont val="Calibri"/>
        <family val="2"/>
        <scheme val="minor"/>
      </rPr>
      <t xml:space="preserve">Which State agency oversees USDA Foods distribution (the State Distributing Agency (SDA)); </t>
    </r>
    <r>
      <rPr>
        <b/>
        <sz val="12"/>
        <rFont val="Calibri"/>
        <family val="2"/>
        <scheme val="minor"/>
      </rPr>
      <t>2)</t>
    </r>
    <r>
      <rPr>
        <sz val="12"/>
        <rFont val="Calibri"/>
        <family val="2"/>
        <scheme val="minor"/>
      </rPr>
      <t xml:space="preserve"> Does the  SDA conduct the procurement of processors on behalf of SFAs;</t>
    </r>
    <r>
      <rPr>
        <b/>
        <sz val="12"/>
        <rFont val="Calibri"/>
        <family val="2"/>
        <scheme val="minor"/>
      </rPr>
      <t xml:space="preserve"> 3)</t>
    </r>
    <r>
      <rPr>
        <sz val="12"/>
        <rFont val="Calibri"/>
        <family val="2"/>
        <scheme val="minor"/>
      </rPr>
      <t xml:space="preserve"> Are there exceptions to SDA procurement of processors (i.e., SFAs that conduct their own procurement such as large SFAs within the State.  If yes, answer Q1 only.) </t>
    </r>
    <r>
      <rPr>
        <b/>
        <sz val="12"/>
        <rFont val="Calibri"/>
        <family val="2"/>
        <scheme val="minor"/>
      </rPr>
      <t xml:space="preserve"> 4)</t>
    </r>
    <r>
      <rPr>
        <sz val="12"/>
        <rFont val="Calibri"/>
        <family val="2"/>
        <scheme val="minor"/>
      </rPr>
      <t xml:space="preserve"> What oversight does the SDA have in place to adjust inventory levels throughout the year; </t>
    </r>
    <r>
      <rPr>
        <b/>
        <sz val="12"/>
        <rFont val="Calibri"/>
        <family val="2"/>
        <scheme val="minor"/>
      </rPr>
      <t>5)</t>
    </r>
    <r>
      <rPr>
        <sz val="12"/>
        <rFont val="Calibri"/>
        <family val="2"/>
        <scheme val="minor"/>
      </rPr>
      <t xml:space="preserve"> Does the SDA implement a "sweeps" process; </t>
    </r>
    <r>
      <rPr>
        <b/>
        <sz val="12"/>
        <rFont val="Calibri"/>
        <family val="2"/>
        <scheme val="minor"/>
      </rPr>
      <t>(NOTE:</t>
    </r>
    <r>
      <rPr>
        <sz val="12"/>
        <rFont val="Calibri"/>
        <family val="2"/>
        <scheme val="minor"/>
      </rPr>
      <t xml:space="preserve"> sweeps is an annual adjustment to an SFAs planned assistance and diverted USDA Foods if SFAs do not use their inventory); and </t>
    </r>
    <r>
      <rPr>
        <b/>
        <sz val="12"/>
        <rFont val="Calibri"/>
        <family val="2"/>
        <scheme val="minor"/>
      </rPr>
      <t>6)</t>
    </r>
    <r>
      <rPr>
        <sz val="12"/>
        <rFont val="Calibri"/>
        <family val="2"/>
        <scheme val="minor"/>
      </rPr>
      <t xml:space="preserve"> Does the SDA periodically adjust orders due to inventory levels?) 
If the SDA does not procure processors on behalf of SFAs, obtain the following information:  </t>
    </r>
    <r>
      <rPr>
        <b/>
        <sz val="12"/>
        <rFont val="Calibri"/>
        <family val="2"/>
        <scheme val="minor"/>
      </rPr>
      <t>State template</t>
    </r>
    <r>
      <rPr>
        <sz val="12"/>
        <rFont val="Calibri"/>
        <family val="2"/>
        <scheme val="minor"/>
      </rPr>
      <t xml:space="preserve"> processing contract/agreement,</t>
    </r>
    <r>
      <rPr>
        <b/>
        <sz val="12"/>
        <rFont val="Calibri"/>
        <family val="2"/>
        <scheme val="minor"/>
      </rPr>
      <t xml:space="preserve"> State-approved list of foods</t>
    </r>
    <r>
      <rPr>
        <sz val="12"/>
        <rFont val="Calibri"/>
        <family val="2"/>
        <scheme val="minor"/>
      </rPr>
      <t xml:space="preserve"> for processing and </t>
    </r>
    <r>
      <rPr>
        <b/>
        <sz val="12"/>
        <rFont val="Calibri"/>
        <family val="2"/>
        <scheme val="minor"/>
      </rPr>
      <t>value pass-through amount</t>
    </r>
    <r>
      <rPr>
        <sz val="12"/>
        <rFont val="Calibri"/>
        <family val="2"/>
        <scheme val="minor"/>
      </rPr>
      <t xml:space="preserve"> for each food, and the </t>
    </r>
    <r>
      <rPr>
        <b/>
        <sz val="12"/>
        <rFont val="Calibri"/>
        <family val="2"/>
        <scheme val="minor"/>
      </rPr>
      <t>planned assistance/entitlement level</t>
    </r>
    <r>
      <rPr>
        <sz val="12"/>
        <rFont val="Calibri"/>
        <family val="2"/>
        <scheme val="minor"/>
      </rPr>
      <t xml:space="preserve"> for SFAs during the prior school year and/or current school year, if applicable for new SFAs.  Ask the State Distributing Agency for any additional documentation that may be State specific for conducting a review of processors for USDA Foods.  </t>
    </r>
    <r>
      <rPr>
        <b/>
        <sz val="12"/>
        <rFont val="Calibri"/>
        <family val="2"/>
        <scheme val="minor"/>
      </rPr>
      <t xml:space="preserve">Responses:  Yes=Compliant; No= Non-compliant. </t>
    </r>
    <r>
      <rPr>
        <sz val="12"/>
        <rFont val="Calibri"/>
        <family val="2"/>
        <scheme val="minor"/>
      </rPr>
      <t xml:space="preserve"> </t>
    </r>
    <r>
      <rPr>
        <b/>
        <sz val="12"/>
        <rFont val="Calibri"/>
        <family val="2"/>
        <scheme val="minor"/>
      </rPr>
      <t xml:space="preserve">
</t>
    </r>
  </si>
  <si>
    <r>
      <rPr>
        <b/>
        <sz val="12"/>
        <color theme="1"/>
        <rFont val="Calibri"/>
        <family val="2"/>
        <scheme val="minor"/>
      </rPr>
      <t>SECTION B. STATE AGENCY INSTRUCTIONS: Answ</t>
    </r>
    <r>
      <rPr>
        <b/>
        <sz val="12"/>
        <rFont val="Calibri"/>
        <family val="2"/>
        <scheme val="minor"/>
      </rPr>
      <t xml:space="preserve">er Q2 </t>
    </r>
    <r>
      <rPr>
        <b/>
        <sz val="12"/>
        <color theme="1"/>
        <rFont val="Calibri"/>
        <family val="2"/>
        <scheme val="minor"/>
      </rPr>
      <t>through Q8, as applicable, if the SFA is self-operating and procures its own processors using the fee for service value pass-through method.</t>
    </r>
    <r>
      <rPr>
        <sz val="12"/>
        <color theme="1"/>
        <rFont val="Calibri"/>
        <family val="2"/>
        <scheme val="minor"/>
      </rPr>
      <t xml:space="preserve">  </t>
    </r>
    <r>
      <rPr>
        <i/>
        <sz val="12"/>
        <color theme="1"/>
        <rFont val="Calibri"/>
        <family val="2"/>
        <scheme val="minor"/>
      </rPr>
      <t>Obtain copies of solicitation documents.  Evaluate compliance with Federal requirements for specifications, evaluation and scoring criteria, contract award for lowest/most advantageous bid/offer, required contract provisions, presence of unallowable cost provisions, over-responsiveness, etc.  If the State does not procure processing contracts for SFAs, determine State-approved value pass-through methods; State approved processors, and any additional information the agency can provide to answer all questions below.</t>
    </r>
  </si>
  <si>
    <t>[REWORD &amp; MOVED FROM SFA PROCUREMENT TABLE]</t>
  </si>
  <si>
    <r>
      <rPr>
        <b/>
        <sz val="12"/>
        <rFont val="Calibri"/>
        <family val="2"/>
        <scheme val="minor"/>
      </rPr>
      <t>REVISIONS: New information, instructions, questions, and changes throughout the Tool are designated in</t>
    </r>
    <r>
      <rPr>
        <b/>
        <sz val="12"/>
        <color rgb="FFFF0000"/>
        <rFont val="Calibri"/>
        <family val="2"/>
        <scheme val="minor"/>
      </rPr>
      <t xml:space="preserve"> red </t>
    </r>
    <r>
      <rPr>
        <b/>
        <sz val="12"/>
        <rFont val="Calibri"/>
        <family val="2"/>
        <scheme val="minor"/>
      </rPr>
      <t>font or with</t>
    </r>
    <r>
      <rPr>
        <b/>
        <sz val="12"/>
        <color rgb="FFFF0000"/>
        <rFont val="Calibri"/>
        <family val="2"/>
        <scheme val="minor"/>
      </rPr>
      <t xml:space="preserve"> </t>
    </r>
    <r>
      <rPr>
        <b/>
        <sz val="12"/>
        <color rgb="FF00B050"/>
        <rFont val="Calibri"/>
        <family val="2"/>
        <scheme val="minor"/>
      </rPr>
      <t>[NEW] OR [REWORD] i</t>
    </r>
    <r>
      <rPr>
        <b/>
        <sz val="12"/>
        <rFont val="Calibri"/>
        <family val="2"/>
        <scheme val="minor"/>
      </rPr>
      <t xml:space="preserve">n the leading language.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</si>
</sst>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05"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sz val="9"/>
      <color indexed="81"/>
      <name val="Tahoma"/>
      <family val="2"/>
    </font>
    <font>
      <b/>
      <sz val="9"/>
      <color indexed="81"/>
      <name val="Tahoma"/>
      <family val="2"/>
    </font>
    <font>
      <b/>
      <sz val="14"/>
      <color theme="1"/>
      <name val="Calibri"/>
      <family val="2"/>
      <scheme val="minor"/>
    </font>
    <font>
      <sz val="14"/>
      <color theme="1"/>
      <name val="Calibri"/>
      <family val="2"/>
      <scheme val="minor"/>
    </font>
    <font>
      <u/>
      <sz val="11"/>
      <color theme="10"/>
      <name val="Calibri"/>
      <family val="2"/>
      <scheme val="minor"/>
    </font>
    <font>
      <b/>
      <sz val="12"/>
      <name val="Calibri"/>
      <family val="2"/>
      <scheme val="minor"/>
    </font>
    <font>
      <u/>
      <sz val="12"/>
      <color theme="10"/>
      <name val="Calibri"/>
      <family val="2"/>
      <scheme val="minor"/>
    </font>
    <font>
      <sz val="12"/>
      <name val="Calibri"/>
      <family val="2"/>
      <scheme val="minor"/>
    </font>
    <font>
      <u/>
      <sz val="14"/>
      <color theme="10"/>
      <name val="Calibri"/>
      <family val="2"/>
      <scheme val="minor"/>
    </font>
    <font>
      <sz val="11"/>
      <color theme="1"/>
      <name val="Arial"/>
      <family val="2"/>
    </font>
    <font>
      <i/>
      <sz val="11"/>
      <color theme="1"/>
      <name val="Arial"/>
      <family val="2"/>
    </font>
    <font>
      <b/>
      <sz val="10"/>
      <color theme="1"/>
      <name val="Arial"/>
      <family val="2"/>
    </font>
    <font>
      <b/>
      <sz val="9"/>
      <color rgb="FF333333"/>
      <name val="Arial"/>
      <family val="2"/>
    </font>
    <font>
      <sz val="9"/>
      <color rgb="FF333333"/>
      <name val="Arial"/>
      <family val="2"/>
    </font>
    <font>
      <b/>
      <sz val="11"/>
      <color rgb="FF000000"/>
      <name val="Arial"/>
      <family val="2"/>
    </font>
    <font>
      <sz val="11"/>
      <color rgb="FF000000"/>
      <name val="Arial"/>
      <family val="2"/>
    </font>
    <font>
      <sz val="11"/>
      <color rgb="FFFFFFFF"/>
      <name val="Arial"/>
      <family val="2"/>
    </font>
    <font>
      <sz val="9"/>
      <color theme="1"/>
      <name val="Arial"/>
      <family val="2"/>
    </font>
    <font>
      <b/>
      <sz val="14"/>
      <color theme="1"/>
      <name val="Arial"/>
      <family val="2"/>
    </font>
    <font>
      <u/>
      <sz val="11"/>
      <color rgb="FFFF0000"/>
      <name val="Calibri"/>
      <family val="2"/>
      <scheme val="minor"/>
    </font>
    <font>
      <b/>
      <sz val="12"/>
      <color rgb="FFFF0000"/>
      <name val="Calibri"/>
      <family val="2"/>
      <scheme val="minor"/>
    </font>
    <font>
      <sz val="11"/>
      <color theme="1"/>
      <name val="Calibri"/>
      <family val="2"/>
      <scheme val="minor"/>
    </font>
    <font>
      <b/>
      <i/>
      <sz val="12"/>
      <color theme="1"/>
      <name val="Calibri"/>
      <family val="2"/>
      <scheme val="minor"/>
    </font>
    <font>
      <b/>
      <sz val="16"/>
      <color rgb="FFFF0000"/>
      <name val="Calibri"/>
      <family val="2"/>
      <scheme val="minor"/>
    </font>
    <font>
      <strike/>
      <sz val="12"/>
      <color theme="1"/>
      <name val="Calibri"/>
      <family val="2"/>
      <scheme val="minor"/>
    </font>
    <font>
      <sz val="12"/>
      <color rgb="FFFF0000"/>
      <name val="Calibri"/>
      <family val="2"/>
      <scheme val="minor"/>
    </font>
    <font>
      <b/>
      <sz val="20"/>
      <color rgb="FFFF0000"/>
      <name val="Calibri"/>
      <family val="2"/>
      <scheme val="minor"/>
    </font>
    <font>
      <b/>
      <sz val="16"/>
      <color theme="1"/>
      <name val="Calibri"/>
      <family val="2"/>
      <scheme val="minor"/>
    </font>
    <font>
      <sz val="11"/>
      <color theme="0"/>
      <name val="Calibri"/>
      <family val="2"/>
      <scheme val="minor"/>
    </font>
    <font>
      <sz val="11"/>
      <name val="Calibri"/>
      <family val="2"/>
      <scheme val="minor"/>
    </font>
    <font>
      <sz val="12"/>
      <color indexed="81"/>
      <name val="Calibri"/>
      <family val="2"/>
    </font>
    <font>
      <sz val="16"/>
      <color theme="1"/>
      <name val="Calibri"/>
      <family val="2"/>
      <scheme val="minor"/>
    </font>
    <font>
      <b/>
      <sz val="14"/>
      <name val="Calibri"/>
      <family val="2"/>
      <scheme val="minor"/>
    </font>
    <font>
      <b/>
      <sz val="22"/>
      <color rgb="FFFF0000"/>
      <name val="Calibri"/>
      <family val="2"/>
      <scheme val="minor"/>
    </font>
    <font>
      <sz val="22"/>
      <color theme="1"/>
      <name val="Calibri"/>
      <family val="2"/>
      <scheme val="minor"/>
    </font>
    <font>
      <sz val="20"/>
      <color theme="1"/>
      <name val="Calibri"/>
      <family val="2"/>
      <scheme val="minor"/>
    </font>
    <font>
      <u/>
      <sz val="16"/>
      <color theme="1"/>
      <name val="Calibri"/>
      <family val="2"/>
      <scheme val="minor"/>
    </font>
    <font>
      <b/>
      <sz val="36"/>
      <color theme="0"/>
      <name val="Calibri"/>
      <family val="2"/>
      <scheme val="minor"/>
    </font>
    <font>
      <sz val="12"/>
      <color theme="3"/>
      <name val="Calibri"/>
      <family val="2"/>
      <scheme val="minor"/>
    </font>
    <font>
      <i/>
      <sz val="12"/>
      <color rgb="FFFF0000"/>
      <name val="Calibri"/>
      <family val="2"/>
      <scheme val="minor"/>
    </font>
    <font>
      <i/>
      <sz val="12"/>
      <name val="Calibri"/>
      <family val="2"/>
      <scheme val="minor"/>
    </font>
    <font>
      <b/>
      <i/>
      <sz val="12"/>
      <color rgb="FFFF0000"/>
      <name val="Calibri"/>
      <family val="2"/>
      <scheme val="minor"/>
    </font>
    <font>
      <b/>
      <i/>
      <sz val="12"/>
      <name val="Calibri"/>
      <family val="2"/>
      <scheme val="minor"/>
    </font>
    <font>
      <u/>
      <sz val="12"/>
      <color theme="1"/>
      <name val="Calibri"/>
      <family val="2"/>
      <scheme val="minor"/>
    </font>
    <font>
      <u/>
      <sz val="12"/>
      <name val="Calibri"/>
      <family val="2"/>
      <scheme val="minor"/>
    </font>
    <font>
      <sz val="12"/>
      <color rgb="FF00B050"/>
      <name val="Calibri"/>
      <family val="2"/>
      <scheme val="minor"/>
    </font>
    <font>
      <b/>
      <u/>
      <sz val="12"/>
      <color theme="3" tint="-0.249977111117893"/>
      <name val="Calibri"/>
      <family val="2"/>
      <scheme val="minor"/>
    </font>
    <font>
      <b/>
      <sz val="12"/>
      <color theme="3" tint="-0.249977111117893"/>
      <name val="Calibri"/>
      <family val="2"/>
      <scheme val="minor"/>
    </font>
    <font>
      <b/>
      <i/>
      <sz val="9"/>
      <color indexed="81"/>
      <name val="Tahoma"/>
      <family val="2"/>
    </font>
    <font>
      <i/>
      <sz val="9"/>
      <color indexed="81"/>
      <name val="Tahoma"/>
      <family val="2"/>
    </font>
    <font>
      <b/>
      <sz val="12"/>
      <color theme="0"/>
      <name val="Calibri"/>
      <family val="2"/>
      <scheme val="minor"/>
    </font>
    <font>
      <b/>
      <sz val="12"/>
      <color rgb="FFC00000"/>
      <name val="Calibri"/>
      <family val="2"/>
      <scheme val="minor"/>
    </font>
    <font>
      <b/>
      <sz val="12"/>
      <color theme="4" tint="0.39997558519241921"/>
      <name val="Calibri"/>
      <family val="2"/>
      <scheme val="minor"/>
    </font>
    <font>
      <b/>
      <i/>
      <sz val="12"/>
      <color theme="0"/>
      <name val="Calibri"/>
      <family val="2"/>
      <scheme val="minor"/>
    </font>
    <font>
      <b/>
      <sz val="12"/>
      <color theme="2"/>
      <name val="Calibri"/>
      <family val="2"/>
      <scheme val="minor"/>
    </font>
    <font>
      <b/>
      <sz val="12"/>
      <color theme="3" tint="0.59999389629810485"/>
      <name val="Calibri"/>
      <family val="2"/>
      <scheme val="minor"/>
    </font>
    <font>
      <b/>
      <sz val="14"/>
      <color rgb="FF0066FF"/>
      <name val="Calibri"/>
      <family val="2"/>
      <scheme val="minor"/>
    </font>
    <font>
      <b/>
      <sz val="14"/>
      <color theme="0"/>
      <name val="Calibri"/>
      <family val="2"/>
      <scheme val="minor"/>
    </font>
    <font>
      <b/>
      <sz val="11"/>
      <name val="Calibri"/>
      <family val="2"/>
      <scheme val="minor"/>
    </font>
    <font>
      <b/>
      <i/>
      <sz val="11"/>
      <name val="Calibri"/>
      <family val="2"/>
      <scheme val="minor"/>
    </font>
    <font>
      <i/>
      <sz val="11"/>
      <name val="Calibri"/>
      <family val="2"/>
      <scheme val="minor"/>
    </font>
    <font>
      <b/>
      <i/>
      <sz val="14"/>
      <color rgb="FF0066FF"/>
      <name val="Calibri"/>
      <family val="2"/>
      <scheme val="minor"/>
    </font>
    <font>
      <b/>
      <sz val="14"/>
      <color rgb="FFFF0000"/>
      <name val="Calibri"/>
      <family val="2"/>
      <scheme val="minor"/>
    </font>
    <font>
      <b/>
      <sz val="16"/>
      <name val="Calibri"/>
      <family val="2"/>
      <scheme val="minor"/>
    </font>
    <font>
      <b/>
      <u/>
      <sz val="14"/>
      <color rgb="FF0066FF"/>
      <name val="Calibri"/>
      <family val="2"/>
      <scheme val="minor"/>
    </font>
    <font>
      <b/>
      <sz val="12"/>
      <color rgb="FF00B050"/>
      <name val="Calibri"/>
      <family val="2"/>
      <scheme val="minor"/>
    </font>
    <font>
      <b/>
      <i/>
      <sz val="12"/>
      <color rgb="FF00B050"/>
      <name val="Calibri"/>
      <family val="2"/>
      <scheme val="minor"/>
    </font>
    <font>
      <b/>
      <sz val="14"/>
      <color rgb="FF00B050"/>
      <name val="Calibri"/>
      <family val="2"/>
      <scheme val="minor"/>
    </font>
    <font>
      <b/>
      <sz val="14"/>
      <color rgb="FF00B0F0"/>
      <name val="Calibri"/>
      <family val="2"/>
      <scheme val="minor"/>
    </font>
    <font>
      <b/>
      <sz val="12"/>
      <color rgb="FF66CCFF"/>
      <name val="Calibri"/>
      <family val="2"/>
      <scheme val="minor"/>
    </font>
    <font>
      <b/>
      <sz val="14"/>
      <color rgb="FF66CCFF"/>
      <name val="Calibri"/>
      <family val="2"/>
      <scheme val="minor"/>
    </font>
    <font>
      <b/>
      <sz val="11"/>
      <color rgb="FF00B050"/>
      <name val="Calibri"/>
      <family val="2"/>
      <scheme val="minor"/>
    </font>
    <font>
      <b/>
      <sz val="10.5"/>
      <color theme="1"/>
      <name val="Calibri"/>
      <family val="2"/>
      <scheme val="minor"/>
    </font>
    <font>
      <b/>
      <sz val="10.5"/>
      <color rgb="FFFF0000"/>
      <name val="Calibri"/>
      <family val="2"/>
      <scheme val="minor"/>
    </font>
    <font>
      <sz val="10.5"/>
      <color theme="1"/>
      <name val="Calibri"/>
      <family val="2"/>
      <scheme val="minor"/>
    </font>
    <font>
      <sz val="10.5"/>
      <name val="Calibri"/>
      <family val="2"/>
      <scheme val="minor"/>
    </font>
    <font>
      <sz val="11"/>
      <color rgb="FF000000"/>
      <name val="Calibri"/>
      <family val="2"/>
      <scheme val="minor"/>
    </font>
    <font>
      <b/>
      <sz val="12"/>
      <color theme="0" tint="-0.34998626667073579"/>
      <name val="Calibri"/>
      <family val="2"/>
      <scheme val="minor"/>
    </font>
    <font>
      <b/>
      <sz val="11"/>
      <color theme="0"/>
      <name val="Calibri"/>
      <family val="2"/>
      <scheme val="minor"/>
    </font>
    <font>
      <sz val="11"/>
      <color rgb="FF00B050"/>
      <name val="Calibri"/>
      <family val="2"/>
      <scheme val="minor"/>
    </font>
    <font>
      <b/>
      <sz val="11"/>
      <color rgb="FF000000"/>
      <name val="Calibri"/>
      <family val="2"/>
      <scheme val="minor"/>
    </font>
    <font>
      <b/>
      <sz val="10"/>
      <color rgb="FF000000"/>
      <name val="Calibri"/>
      <family val="2"/>
    </font>
    <font>
      <b/>
      <sz val="10"/>
      <color rgb="FF000000"/>
      <name val="Wingdings"/>
      <charset val="2"/>
    </font>
    <font>
      <sz val="10"/>
      <color rgb="FF000000"/>
      <name val="Calibri"/>
      <family val="2"/>
    </font>
    <font>
      <sz val="7"/>
      <color rgb="FF000000"/>
      <name val="Times New Roman"/>
      <family val="1"/>
    </font>
    <font>
      <sz val="10"/>
      <color rgb="FF000000"/>
      <name val="Symbol"/>
      <family val="1"/>
      <charset val="2"/>
    </font>
    <font>
      <b/>
      <sz val="11"/>
      <color theme="0" tint="-0.34998626667073579"/>
      <name val="Calibri"/>
      <family val="2"/>
      <scheme val="minor"/>
    </font>
    <font>
      <b/>
      <sz val="11"/>
      <color theme="0" tint="-0.249977111117893"/>
      <name val="Calibri"/>
      <family val="2"/>
      <scheme val="minor"/>
    </font>
    <font>
      <i/>
      <sz val="12"/>
      <color rgb="FF00B050"/>
      <name val="Calibri"/>
      <family val="2"/>
      <scheme val="minor"/>
    </font>
    <font>
      <sz val="12"/>
      <color rgb="FF000000"/>
      <name val="Calibri"/>
      <family val="2"/>
      <scheme val="minor"/>
    </font>
    <font>
      <sz val="11"/>
      <color rgb="FFFF0000"/>
      <name val="Calibri"/>
      <family val="2"/>
      <scheme val="minor"/>
    </font>
    <font>
      <sz val="11"/>
      <color rgb="FF000000"/>
      <name val="Symbol"/>
      <family val="1"/>
      <charset val="2"/>
    </font>
    <font>
      <sz val="11"/>
      <color rgb="FF000000"/>
      <name val="Courier New"/>
      <family val="3"/>
    </font>
    <font>
      <b/>
      <i/>
      <sz val="11"/>
      <color rgb="FF000000"/>
      <name val="Calibri"/>
      <family val="2"/>
      <scheme val="minor"/>
    </font>
    <font>
      <i/>
      <sz val="11"/>
      <color rgb="FF000000"/>
      <name val="Calibri"/>
      <family val="2"/>
      <scheme val="minor"/>
    </font>
    <font>
      <i/>
      <sz val="11"/>
      <color rgb="FFFF0000"/>
      <name val="Calibri"/>
      <family val="2"/>
      <scheme val="minor"/>
    </font>
    <font>
      <sz val="11"/>
      <color rgb="FFFF0000"/>
      <name val="Symbol"/>
      <family val="1"/>
      <charset val="2"/>
    </font>
    <font>
      <sz val="7"/>
      <color rgb="FFFF0000"/>
      <name val="Times New Roman"/>
      <family val="1"/>
    </font>
    <font>
      <sz val="11"/>
      <color rgb="FF000000"/>
      <name val="Wingdings"/>
      <charset val="2"/>
    </font>
    <font>
      <sz val="9.9"/>
      <color rgb="FF000000"/>
      <name val="Calibri"/>
      <family val="2"/>
    </font>
  </fonts>
  <fills count="2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002060"/>
        <bgColor indexed="64"/>
      </patternFill>
    </fill>
    <fill>
      <patternFill patternType="solid">
        <fgColor theme="2"/>
        <bgColor indexed="64"/>
      </patternFill>
    </fill>
    <fill>
      <patternFill patternType="solid">
        <fgColor theme="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A5A5A5"/>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top/>
      <bottom style="thin">
        <color rgb="FF000000"/>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double">
        <color rgb="FF3F3F3F"/>
      </left>
      <right style="double">
        <color rgb="FF3F3F3F"/>
      </right>
      <top style="double">
        <color rgb="FF3F3F3F"/>
      </top>
      <bottom style="double">
        <color rgb="FF3F3F3F"/>
      </bottom>
      <diagonal/>
    </border>
    <border>
      <left/>
      <right style="medium">
        <color indexed="64"/>
      </right>
      <top style="medium">
        <color indexed="64"/>
      </top>
      <bottom style="medium">
        <color indexed="64"/>
      </bottom>
      <diagonal/>
    </border>
  </borders>
  <cellStyleXfs count="5">
    <xf numFmtId="0" fontId="0" fillId="0" borderId="0"/>
    <xf numFmtId="0" fontId="9" fillId="0" borderId="0" applyNumberForma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0" fontId="83" fillId="18" borderId="58" applyNumberFormat="0" applyAlignment="0" applyProtection="0"/>
  </cellStyleXfs>
  <cellXfs count="780">
    <xf numFmtId="0" fontId="0" fillId="0" borderId="0" xfId="0"/>
    <xf numFmtId="0" fontId="2" fillId="2" borderId="0" xfId="0" applyFont="1" applyFill="1"/>
    <xf numFmtId="0" fontId="0" fillId="0" borderId="0" xfId="0" applyAlignment="1">
      <alignment wrapText="1"/>
    </xf>
    <xf numFmtId="0" fontId="2" fillId="0" borderId="0" xfId="0" applyFont="1" applyAlignment="1">
      <alignment wrapText="1"/>
    </xf>
    <xf numFmtId="0" fontId="2" fillId="0" borderId="0" xfId="0" applyFont="1" applyAlignment="1">
      <alignment horizontal="left" wrapText="1"/>
    </xf>
    <xf numFmtId="0" fontId="3" fillId="0" borderId="0" xfId="0" applyFont="1" applyAlignment="1">
      <alignment horizontal="left" wrapText="1"/>
    </xf>
    <xf numFmtId="0" fontId="0" fillId="0" borderId="0" xfId="0" applyAlignment="1">
      <alignment horizontal="left" vertical="center" indent="1"/>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xf numFmtId="0" fontId="3" fillId="0" borderId="0" xfId="0" applyFont="1" applyAlignment="1">
      <alignment horizontal="left" vertical="center" wrapText="1"/>
    </xf>
    <xf numFmtId="0" fontId="11" fillId="0" borderId="0" xfId="1" applyFont="1" applyAlignment="1">
      <alignment horizontal="left" vertical="center" wrapText="1"/>
    </xf>
    <xf numFmtId="0" fontId="11" fillId="0" borderId="0" xfId="1" applyFont="1" applyAlignment="1">
      <alignment horizontal="left" vertical="center"/>
    </xf>
    <xf numFmtId="0" fontId="2" fillId="0" borderId="16" xfId="0" applyFont="1" applyBorder="1" applyAlignment="1">
      <alignment wrapText="1"/>
    </xf>
    <xf numFmtId="0" fontId="13" fillId="0" borderId="0" xfId="1" applyFont="1" applyAlignment="1">
      <alignment wrapText="1"/>
    </xf>
    <xf numFmtId="0" fontId="8" fillId="0" borderId="0" xfId="0" applyFont="1"/>
    <xf numFmtId="0" fontId="13" fillId="0" borderId="0" xfId="1" applyFont="1" applyAlignment="1">
      <alignment horizontal="left" vertical="center"/>
    </xf>
    <xf numFmtId="0" fontId="0" fillId="0" borderId="0" xfId="0" applyAlignment="1">
      <alignment horizontal="left" vertical="center" wrapText="1"/>
    </xf>
    <xf numFmtId="0" fontId="17" fillId="0" borderId="0" xfId="0" applyFont="1" applyAlignment="1">
      <alignment wrapText="1"/>
    </xf>
    <xf numFmtId="0" fontId="18" fillId="0" borderId="0" xfId="0" applyFont="1" applyAlignment="1">
      <alignment wrapText="1"/>
    </xf>
    <xf numFmtId="0" fontId="18" fillId="0" borderId="0" xfId="0" applyFont="1" applyAlignment="1">
      <alignment horizontal="left" wrapText="1"/>
    </xf>
    <xf numFmtId="0" fontId="19" fillId="0" borderId="0" xfId="0" applyFont="1" applyAlignment="1">
      <alignment wrapText="1"/>
    </xf>
    <xf numFmtId="0" fontId="20" fillId="0" borderId="0" xfId="0" applyFont="1" applyAlignment="1">
      <alignment wrapText="1"/>
    </xf>
    <xf numFmtId="0" fontId="19" fillId="0" borderId="0" xfId="0" applyFont="1" applyAlignment="1">
      <alignment horizontal="left" wrapText="1"/>
    </xf>
    <xf numFmtId="0" fontId="21" fillId="0" borderId="0" xfId="0" applyFont="1" applyAlignment="1">
      <alignment wrapText="1"/>
    </xf>
    <xf numFmtId="0" fontId="23" fillId="0" borderId="0" xfId="0" applyFont="1" applyAlignment="1">
      <alignment horizontal="left" vertical="center"/>
    </xf>
    <xf numFmtId="0" fontId="16" fillId="0" borderId="0" xfId="0" applyFont="1" applyAlignment="1">
      <alignment horizontal="left" vertical="center" wrapText="1"/>
    </xf>
    <xf numFmtId="0" fontId="0" fillId="0" borderId="0" xfId="0" applyAlignment="1">
      <alignment horizontal="left" vertical="center" wrapText="1" indent="1"/>
    </xf>
    <xf numFmtId="0" fontId="14" fillId="0" borderId="0" xfId="0" applyFont="1" applyAlignment="1">
      <alignment horizontal="left" vertical="center" wrapText="1"/>
    </xf>
    <xf numFmtId="0" fontId="22" fillId="0" borderId="0" xfId="0" applyFont="1" applyAlignment="1">
      <alignment horizontal="left" vertical="center" wrapText="1"/>
    </xf>
    <xf numFmtId="0" fontId="24" fillId="0" borderId="0" xfId="1" applyFont="1"/>
    <xf numFmtId="0" fontId="0" fillId="0" borderId="0" xfId="0" applyAlignment="1">
      <alignment vertical="top"/>
    </xf>
    <xf numFmtId="0" fontId="33" fillId="2" borderId="0" xfId="0" applyFont="1" applyFill="1"/>
    <xf numFmtId="0" fontId="2" fillId="2" borderId="0" xfId="0" applyFont="1" applyFill="1" applyAlignment="1">
      <alignment horizontal="center"/>
    </xf>
    <xf numFmtId="0" fontId="33" fillId="0" borderId="0" xfId="0" applyFont="1"/>
    <xf numFmtId="0" fontId="36" fillId="3" borderId="10" xfId="0" applyFont="1" applyFill="1" applyBorder="1"/>
    <xf numFmtId="0" fontId="36" fillId="0" borderId="10" xfId="0" applyFont="1" applyBorder="1" applyAlignment="1">
      <alignment wrapText="1"/>
    </xf>
    <xf numFmtId="0" fontId="36" fillId="0" borderId="10" xfId="0" applyFont="1" applyBorder="1" applyAlignment="1">
      <alignment horizontal="left" vertical="center" wrapText="1"/>
    </xf>
    <xf numFmtId="0" fontId="36" fillId="0" borderId="0" xfId="0" applyFont="1" applyAlignment="1">
      <alignment horizontal="left" vertical="center" wrapText="1"/>
    </xf>
    <xf numFmtId="0" fontId="12" fillId="2" borderId="0" xfId="0" applyFont="1" applyFill="1" applyAlignment="1">
      <alignment horizontal="left" vertical="top" wrapText="1"/>
    </xf>
    <xf numFmtId="0" fontId="12" fillId="2" borderId="0" xfId="0" applyFont="1" applyFill="1" applyAlignment="1">
      <alignment horizontal="left" wrapText="1"/>
    </xf>
    <xf numFmtId="0" fontId="37" fillId="0" borderId="0" xfId="0" applyFont="1"/>
    <xf numFmtId="0" fontId="37" fillId="2" borderId="0" xfId="0" applyFont="1" applyFill="1"/>
    <xf numFmtId="3" fontId="37" fillId="2" borderId="0" xfId="0" applyNumberFormat="1" applyFont="1" applyFill="1"/>
    <xf numFmtId="0" fontId="1" fillId="0" borderId="0" xfId="0" applyFont="1"/>
    <xf numFmtId="0" fontId="12" fillId="2" borderId="0" xfId="0" applyFont="1" applyFill="1" applyAlignment="1">
      <alignment horizontal="left" vertical="center" wrapText="1"/>
    </xf>
    <xf numFmtId="0" fontId="2" fillId="2" borderId="0" xfId="0" applyFont="1" applyFill="1" applyAlignment="1">
      <alignment horizontal="center" vertical="center"/>
    </xf>
    <xf numFmtId="0" fontId="2" fillId="0" borderId="0" xfId="0" applyFont="1" applyAlignment="1">
      <alignment horizontal="center" vertical="center"/>
    </xf>
    <xf numFmtId="0" fontId="14" fillId="0" borderId="0" xfId="0" applyFont="1"/>
    <xf numFmtId="0" fontId="34" fillId="2" borderId="0" xfId="0" applyFont="1" applyFill="1"/>
    <xf numFmtId="0" fontId="34" fillId="0" borderId="0" xfId="0" applyFont="1"/>
    <xf numFmtId="0" fontId="27" fillId="2" borderId="0" xfId="0" applyFont="1" applyFill="1" applyAlignment="1">
      <alignment horizontal="left" vertical="center" wrapText="1"/>
    </xf>
    <xf numFmtId="0" fontId="3" fillId="2" borderId="0" xfId="0" applyFont="1" applyFill="1" applyAlignment="1">
      <alignment horizontal="left" vertical="center" wrapText="1"/>
    </xf>
    <xf numFmtId="0" fontId="2" fillId="2" borderId="0" xfId="0" applyFont="1" applyFill="1" applyAlignment="1">
      <alignment horizontal="left"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11" borderId="0" xfId="0" applyFill="1" applyAlignment="1" applyProtection="1">
      <alignment horizontal="left" vertical="top"/>
      <protection locked="0"/>
    </xf>
    <xf numFmtId="0" fontId="0" fillId="2" borderId="0" xfId="0" applyFill="1" applyAlignment="1" applyProtection="1">
      <alignment horizontal="left" vertical="top"/>
      <protection locked="0"/>
    </xf>
    <xf numFmtId="0" fontId="0" fillId="0" borderId="0" xfId="0" applyAlignment="1" applyProtection="1">
      <alignment horizontal="left" vertical="top"/>
      <protection locked="0"/>
    </xf>
    <xf numFmtId="0" fontId="7" fillId="4"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11" borderId="0" xfId="0" applyFont="1" applyFill="1" applyAlignment="1" applyProtection="1">
      <alignment horizontal="left" vertical="top"/>
      <protection locked="0"/>
    </xf>
    <xf numFmtId="0" fontId="2" fillId="2" borderId="0" xfId="0" applyFont="1" applyFill="1" applyAlignment="1" applyProtection="1">
      <alignment horizontal="left" vertical="top"/>
      <protection locked="0"/>
    </xf>
    <xf numFmtId="0" fontId="2" fillId="0" borderId="0" xfId="0" applyFont="1" applyAlignment="1" applyProtection="1">
      <alignment horizontal="left" vertical="top"/>
      <protection locked="0"/>
    </xf>
    <xf numFmtId="0" fontId="0" fillId="11" borderId="0" xfId="0"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32" fillId="4" borderId="1" xfId="0" applyFont="1" applyFill="1" applyBorder="1" applyAlignment="1" applyProtection="1">
      <alignment horizontal="center" vertical="center" wrapText="1"/>
      <protection locked="0"/>
    </xf>
    <xf numFmtId="0" fontId="36" fillId="11" borderId="0" xfId="0" applyFont="1" applyFill="1" applyAlignment="1" applyProtection="1">
      <alignment horizontal="center" vertical="center" wrapText="1"/>
      <protection locked="0"/>
    </xf>
    <xf numFmtId="0" fontId="0" fillId="11" borderId="0" xfId="0"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2" fillId="11" borderId="0" xfId="0" applyFont="1" applyFill="1" applyAlignment="1" applyProtection="1">
      <alignment horizontal="left" vertical="top" wrapText="1"/>
      <protection locked="0"/>
    </xf>
    <xf numFmtId="0" fontId="39" fillId="11" borderId="0" xfId="0" applyFont="1" applyFill="1" applyAlignment="1" applyProtection="1">
      <alignment horizontal="left" vertical="center" wrapText="1"/>
      <protection locked="0"/>
    </xf>
    <xf numFmtId="0" fontId="39" fillId="2" borderId="0" xfId="0" applyFont="1" applyFill="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0" fontId="0" fillId="11" borderId="0" xfId="0"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2" borderId="0" xfId="0" applyFont="1" applyFill="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40" fillId="11" borderId="0" xfId="0" applyFont="1" applyFill="1" applyAlignment="1" applyProtection="1">
      <alignment horizontal="left" vertical="center" wrapText="1"/>
      <protection locked="0"/>
    </xf>
    <xf numFmtId="0" fontId="40" fillId="2" borderId="0" xfId="0" applyFont="1" applyFill="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7" fillId="4" borderId="1" xfId="0" applyFont="1" applyFill="1" applyBorder="1" applyAlignment="1" applyProtection="1">
      <alignment horizontal="center" vertical="center"/>
      <protection locked="0"/>
    </xf>
    <xf numFmtId="0" fontId="40" fillId="11" borderId="0" xfId="0" applyFont="1" applyFill="1" applyAlignment="1" applyProtection="1">
      <alignment horizontal="left" vertical="top"/>
      <protection locked="0"/>
    </xf>
    <xf numFmtId="0" fontId="40" fillId="2" borderId="0" xfId="0" applyFont="1" applyFill="1" applyAlignment="1" applyProtection="1">
      <alignment horizontal="left" vertical="top"/>
      <protection locked="0"/>
    </xf>
    <xf numFmtId="0" fontId="40" fillId="0" borderId="0" xfId="0" applyFont="1" applyAlignment="1" applyProtection="1">
      <alignment horizontal="left" vertical="top"/>
      <protection locked="0"/>
    </xf>
    <xf numFmtId="0" fontId="32" fillId="4" borderId="1" xfId="0" applyFont="1" applyFill="1" applyBorder="1" applyAlignment="1" applyProtection="1">
      <alignment horizontal="center" vertical="center"/>
      <protection locked="0"/>
    </xf>
    <xf numFmtId="0" fontId="36" fillId="11" borderId="0" xfId="0" applyFont="1" applyFill="1" applyAlignment="1" applyProtection="1">
      <alignment horizontal="center" vertical="center"/>
      <protection locked="0"/>
    </xf>
    <xf numFmtId="0" fontId="2" fillId="2" borderId="0" xfId="0" applyFont="1" applyFill="1" applyProtection="1">
      <protection locked="0"/>
    </xf>
    <xf numFmtId="0" fontId="28" fillId="12" borderId="4" xfId="0" applyFont="1" applyFill="1" applyBorder="1" applyProtection="1">
      <protection locked="0"/>
    </xf>
    <xf numFmtId="0" fontId="32" fillId="12" borderId="9" xfId="0" applyFont="1" applyFill="1" applyBorder="1" applyAlignment="1" applyProtection="1">
      <alignment wrapText="1"/>
      <protection locked="0"/>
    </xf>
    <xf numFmtId="0" fontId="28" fillId="12" borderId="2" xfId="0" applyFont="1" applyFill="1" applyBorder="1" applyAlignment="1" applyProtection="1">
      <alignment horizontal="center" wrapText="1"/>
      <protection locked="0"/>
    </xf>
    <xf numFmtId="0" fontId="2" fillId="0" borderId="1" xfId="0" applyFont="1" applyBorder="1" applyAlignment="1" applyProtection="1">
      <alignment horizontal="left" vertical="top"/>
      <protection locked="0"/>
    </xf>
    <xf numFmtId="0" fontId="2" fillId="3" borderId="1" xfId="0" applyFont="1" applyFill="1" applyBorder="1" applyAlignment="1" applyProtection="1">
      <alignment horizontal="center" vertical="center"/>
      <protection locked="0"/>
    </xf>
    <xf numFmtId="0" fontId="2" fillId="0" borderId="1" xfId="0" applyFont="1" applyBorder="1" applyAlignment="1" applyProtection="1">
      <alignment vertical="top"/>
      <protection locked="0"/>
    </xf>
    <xf numFmtId="0" fontId="2" fillId="2" borderId="0" xfId="0" applyFont="1" applyFill="1" applyAlignment="1" applyProtection="1">
      <alignment vertical="top"/>
      <protection locked="0"/>
    </xf>
    <xf numFmtId="0" fontId="3" fillId="0" borderId="1" xfId="0" applyFont="1" applyBorder="1" applyAlignment="1" applyProtection="1">
      <alignment horizontal="center" vertical="center"/>
      <protection locked="0"/>
    </xf>
    <xf numFmtId="0" fontId="3" fillId="0" borderId="0" xfId="0" applyFont="1" applyAlignment="1" applyProtection="1">
      <alignment horizontal="left" vertical="top"/>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protection locked="0"/>
    </xf>
    <xf numFmtId="0" fontId="2" fillId="2" borderId="22" xfId="0" applyFont="1" applyFill="1" applyBorder="1" applyAlignment="1" applyProtection="1">
      <alignment vertical="top"/>
      <protection locked="0"/>
    </xf>
    <xf numFmtId="0" fontId="28" fillId="12" borderId="7" xfId="0" applyFont="1" applyFill="1" applyBorder="1" applyAlignment="1">
      <alignment horizontal="center"/>
    </xf>
    <xf numFmtId="0" fontId="2" fillId="0" borderId="0" xfId="0" applyFont="1" applyProtection="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Protection="1">
      <protection locked="0"/>
    </xf>
    <xf numFmtId="0" fontId="2" fillId="3" borderId="2"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0" xfId="0" applyFont="1" applyFill="1" applyAlignment="1" applyProtection="1">
      <alignment horizontal="center"/>
      <protection locked="0"/>
    </xf>
    <xf numFmtId="0" fontId="2" fillId="0" borderId="0" xfId="0" applyFont="1" applyAlignment="1" applyProtection="1">
      <alignment horizontal="center"/>
      <protection locked="0"/>
    </xf>
    <xf numFmtId="0" fontId="3" fillId="3" borderId="12"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wrapText="1"/>
      <protection locked="0"/>
    </xf>
    <xf numFmtId="0" fontId="2" fillId="0" borderId="0" xfId="0" applyFont="1" applyAlignment="1" applyProtection="1">
      <alignment vertical="top"/>
      <protection locked="0"/>
    </xf>
    <xf numFmtId="0" fontId="12" fillId="0" borderId="12" xfId="0" applyFont="1" applyBorder="1" applyAlignment="1" applyProtection="1">
      <alignment horizontal="left" vertical="top" wrapText="1"/>
      <protection locked="0"/>
    </xf>
    <xf numFmtId="0" fontId="10" fillId="3" borderId="20"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0" fillId="16" borderId="0" xfId="0" applyFill="1"/>
    <xf numFmtId="0" fontId="3" fillId="2" borderId="1"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2" fillId="0" borderId="39" xfId="0" applyFont="1" applyBorder="1" applyAlignment="1" applyProtection="1">
      <alignment horizontal="center" vertical="center"/>
      <protection locked="0"/>
    </xf>
    <xf numFmtId="0" fontId="3" fillId="3" borderId="39" xfId="0" applyFont="1" applyFill="1" applyBorder="1" applyAlignment="1" applyProtection="1">
      <alignment horizontal="left" vertical="center" wrapText="1"/>
      <protection locked="0"/>
    </xf>
    <xf numFmtId="0" fontId="3" fillId="0" borderId="39" xfId="0" applyFont="1" applyBorder="1" applyAlignment="1" applyProtection="1">
      <alignment horizontal="left" vertical="center" wrapText="1"/>
      <protection locked="0"/>
    </xf>
    <xf numFmtId="0" fontId="2" fillId="0" borderId="40"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12" fillId="2" borderId="0" xfId="0" applyFont="1" applyFill="1" applyAlignment="1">
      <alignment horizontal="center" vertical="center" wrapText="1"/>
    </xf>
    <xf numFmtId="0" fontId="12" fillId="2" borderId="0" xfId="0" applyFont="1" applyFill="1" applyAlignment="1">
      <alignment horizontal="center" vertical="top" wrapText="1"/>
    </xf>
    <xf numFmtId="0" fontId="12" fillId="2" borderId="0" xfId="0" applyFont="1" applyFill="1" applyAlignment="1">
      <alignment horizontal="center" wrapText="1"/>
    </xf>
    <xf numFmtId="0" fontId="27"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3" borderId="2" xfId="0" applyFont="1" applyFill="1" applyBorder="1" applyAlignment="1" applyProtection="1">
      <alignment horizontal="center" wrapText="1"/>
      <protection locked="0"/>
    </xf>
    <xf numFmtId="0" fontId="3" fillId="3" borderId="0" xfId="0" applyFont="1" applyFill="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2" borderId="0" xfId="0" applyFont="1" applyFill="1" applyAlignment="1">
      <alignment horizontal="center" wrapText="1"/>
    </xf>
    <xf numFmtId="0" fontId="2" fillId="0" borderId="0" xfId="0" applyFont="1" applyAlignment="1">
      <alignment horizontal="center" wrapText="1"/>
    </xf>
    <xf numFmtId="0" fontId="2" fillId="0" borderId="40" xfId="0" applyFont="1" applyBorder="1" applyAlignment="1" applyProtection="1">
      <alignment horizontal="center" vertical="center"/>
      <protection locked="0"/>
    </xf>
    <xf numFmtId="0" fontId="3" fillId="3" borderId="39" xfId="0"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3" borderId="39" xfId="0" applyFont="1" applyFill="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3" fillId="3" borderId="3" xfId="0" applyFont="1" applyFill="1" applyBorder="1" applyAlignment="1" applyProtection="1">
      <alignment horizontal="center" wrapText="1"/>
      <protection locked="0"/>
    </xf>
    <xf numFmtId="0" fontId="2" fillId="3" borderId="8" xfId="0" applyFont="1" applyFill="1" applyBorder="1" applyAlignment="1" applyProtection="1">
      <alignment horizontal="center" vertical="center" wrapText="1"/>
      <protection locked="0"/>
    </xf>
    <xf numFmtId="0" fontId="3" fillId="3" borderId="43" xfId="0" applyFont="1" applyFill="1" applyBorder="1" applyAlignment="1" applyProtection="1">
      <alignment horizontal="center" wrapText="1"/>
      <protection locked="0"/>
    </xf>
    <xf numFmtId="0" fontId="25" fillId="17" borderId="45" xfId="0" applyFont="1" applyFill="1" applyBorder="1" applyAlignment="1">
      <alignment horizontal="left" wrapText="1"/>
    </xf>
    <xf numFmtId="0" fontId="3" fillId="0" borderId="9" xfId="0" applyFont="1" applyBorder="1" applyAlignment="1">
      <alignment vertical="center" wrapText="1"/>
    </xf>
    <xf numFmtId="0" fontId="2" fillId="0" borderId="10" xfId="0" applyFont="1" applyBorder="1" applyAlignment="1">
      <alignment horizontal="left" vertical="center" wrapText="1"/>
    </xf>
    <xf numFmtId="0" fontId="12" fillId="0" borderId="10" xfId="0" applyFont="1" applyBorder="1" applyAlignment="1">
      <alignment horizontal="left" vertical="center" wrapText="1"/>
    </xf>
    <xf numFmtId="0" fontId="3" fillId="0" borderId="9" xfId="0" applyFont="1" applyBorder="1"/>
    <xf numFmtId="0" fontId="2" fillId="0" borderId="2" xfId="0" applyFont="1" applyBorder="1" applyAlignment="1">
      <alignment wrapText="1"/>
    </xf>
    <xf numFmtId="0" fontId="3" fillId="0" borderId="0" xfId="0" applyFont="1"/>
    <xf numFmtId="0" fontId="2" fillId="0" borderId="10" xfId="0" applyFont="1" applyBorder="1" applyAlignment="1">
      <alignment wrapText="1"/>
    </xf>
    <xf numFmtId="0" fontId="2" fillId="0" borderId="10" xfId="0" applyFont="1" applyBorder="1"/>
    <xf numFmtId="0" fontId="2" fillId="0" borderId="2" xfId="0" applyFont="1" applyBorder="1"/>
    <xf numFmtId="0" fontId="3" fillId="0" borderId="10" xfId="0" applyFont="1" applyBorder="1" applyAlignment="1">
      <alignment wrapText="1"/>
    </xf>
    <xf numFmtId="0" fontId="2" fillId="3" borderId="45" xfId="0" applyFont="1" applyFill="1" applyBorder="1" applyAlignment="1">
      <alignment wrapText="1"/>
    </xf>
    <xf numFmtId="0" fontId="3" fillId="3" borderId="10" xfId="0" applyFont="1" applyFill="1" applyBorder="1" applyAlignment="1">
      <alignment wrapText="1"/>
    </xf>
    <xf numFmtId="0" fontId="3" fillId="6" borderId="1" xfId="0" applyFont="1" applyFill="1" applyBorder="1" applyAlignment="1">
      <alignment wrapText="1"/>
    </xf>
    <xf numFmtId="0" fontId="2" fillId="0" borderId="9" xfId="0" applyFont="1" applyBorder="1" applyAlignment="1">
      <alignment wrapText="1"/>
    </xf>
    <xf numFmtId="0" fontId="3" fillId="15" borderId="1" xfId="0" applyFont="1" applyFill="1" applyBorder="1"/>
    <xf numFmtId="0" fontId="3" fillId="6" borderId="1" xfId="0" applyFont="1" applyFill="1" applyBorder="1"/>
    <xf numFmtId="165" fontId="52" fillId="12" borderId="12" xfId="3" applyNumberFormat="1" applyFont="1" applyFill="1" applyBorder="1" applyAlignment="1">
      <alignment horizontal="left" wrapText="1"/>
    </xf>
    <xf numFmtId="0" fontId="3" fillId="12" borderId="12" xfId="0" applyFont="1" applyFill="1" applyBorder="1" applyAlignment="1">
      <alignment horizontal="left" wrapText="1"/>
    </xf>
    <xf numFmtId="0" fontId="10" fillId="12" borderId="12" xfId="0" applyFont="1" applyFill="1" applyBorder="1" applyAlignment="1">
      <alignment horizontal="left" wrapText="1"/>
    </xf>
    <xf numFmtId="0" fontId="10" fillId="3" borderId="12" xfId="0" applyFont="1" applyFill="1" applyBorder="1" applyAlignment="1">
      <alignment horizontal="left" wrapText="1"/>
    </xf>
    <xf numFmtId="0" fontId="10" fillId="3" borderId="39" xfId="0" applyFont="1" applyFill="1" applyBorder="1" applyAlignment="1">
      <alignment horizontal="center" wrapText="1"/>
    </xf>
    <xf numFmtId="0" fontId="10" fillId="3" borderId="8" xfId="0" applyFont="1" applyFill="1" applyBorder="1" applyAlignment="1">
      <alignment horizontal="center" wrapText="1"/>
    </xf>
    <xf numFmtId="0" fontId="10" fillId="3" borderId="1" xfId="0" applyFont="1" applyFill="1" applyBorder="1" applyAlignment="1">
      <alignment horizontal="center" wrapText="1"/>
    </xf>
    <xf numFmtId="0" fontId="3"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wrapText="1"/>
      <protection locked="0"/>
    </xf>
    <xf numFmtId="0" fontId="3" fillId="0" borderId="12" xfId="0" applyFont="1" applyBorder="1" applyAlignment="1" applyProtection="1">
      <alignment horizontal="left" vertical="top" wrapText="1"/>
      <protection locked="0"/>
    </xf>
    <xf numFmtId="0" fontId="51" fillId="12" borderId="0" xfId="0" applyFont="1" applyFill="1" applyAlignment="1">
      <alignment horizontal="left" wrapText="1"/>
    </xf>
    <xf numFmtId="44" fontId="52" fillId="12" borderId="0" xfId="3" applyFont="1" applyFill="1" applyAlignment="1">
      <alignment horizontal="left" wrapText="1"/>
    </xf>
    <xf numFmtId="0" fontId="10" fillId="3" borderId="39"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2" fillId="0" borderId="0" xfId="0" applyFont="1" applyAlignment="1">
      <alignment horizontal="center"/>
    </xf>
    <xf numFmtId="0" fontId="12" fillId="0" borderId="1" xfId="0" applyFont="1" applyBorder="1" applyAlignment="1" applyProtection="1">
      <alignment horizontal="left" vertical="center" wrapText="1"/>
      <protection locked="0"/>
    </xf>
    <xf numFmtId="0" fontId="2" fillId="4" borderId="0" xfId="0" applyFont="1" applyFill="1" applyAlignment="1">
      <alignment vertical="top"/>
    </xf>
    <xf numFmtId="0" fontId="2" fillId="2" borderId="0" xfId="0" applyFont="1" applyFill="1" applyAlignment="1">
      <alignment vertical="top"/>
    </xf>
    <xf numFmtId="0" fontId="2" fillId="0" borderId="0" xfId="0" applyFont="1" applyAlignment="1">
      <alignment vertical="top"/>
    </xf>
    <xf numFmtId="0" fontId="2" fillId="4" borderId="0" xfId="0" applyFont="1" applyFill="1" applyAlignment="1">
      <alignment horizontal="left" vertical="top" wrapText="1"/>
    </xf>
    <xf numFmtId="0" fontId="10" fillId="12" borderId="12" xfId="0" applyFont="1" applyFill="1" applyBorder="1" applyAlignment="1">
      <alignment horizontal="center" vertical="center" wrapText="1"/>
    </xf>
    <xf numFmtId="0" fontId="25" fillId="12" borderId="1" xfId="0" applyFont="1" applyFill="1" applyBorder="1" applyAlignment="1">
      <alignment horizontal="center" vertical="center" wrapText="1"/>
    </xf>
    <xf numFmtId="0" fontId="12" fillId="3" borderId="12" xfId="0" applyFont="1" applyFill="1" applyBorder="1" applyAlignment="1" applyProtection="1">
      <alignment horizontal="left" vertical="top" wrapText="1"/>
      <protection locked="0"/>
    </xf>
    <xf numFmtId="0" fontId="12" fillId="0" borderId="12" xfId="0" applyFont="1" applyBorder="1" applyAlignment="1" applyProtection="1">
      <alignment horizontal="left" vertical="top" wrapText="1" indent="2"/>
      <protection locked="0"/>
    </xf>
    <xf numFmtId="0" fontId="2" fillId="0" borderId="0" xfId="0" applyFont="1" applyAlignment="1" applyProtection="1">
      <alignment horizontal="left" vertical="top" indent="2"/>
      <protection locked="0"/>
    </xf>
    <xf numFmtId="0" fontId="25" fillId="3" borderId="0" xfId="0" applyFont="1" applyFill="1" applyAlignment="1">
      <alignment horizontal="center" vertical="top"/>
    </xf>
    <xf numFmtId="0" fontId="3" fillId="3" borderId="0" xfId="0" applyFont="1" applyFill="1" applyAlignment="1">
      <alignment vertical="top"/>
    </xf>
    <xf numFmtId="0" fontId="3" fillId="2" borderId="0" xfId="0" applyFont="1" applyFill="1" applyAlignment="1">
      <alignment horizontal="left"/>
    </xf>
    <xf numFmtId="0" fontId="3" fillId="0" borderId="0" xfId="0" applyFont="1" applyAlignment="1">
      <alignment horizontal="left"/>
    </xf>
    <xf numFmtId="0" fontId="3" fillId="3" borderId="0" xfId="0" applyFont="1" applyFill="1" applyAlignment="1">
      <alignment horizontal="center" vertical="top"/>
    </xf>
    <xf numFmtId="0" fontId="3" fillId="3" borderId="17" xfId="0" applyFont="1" applyFill="1" applyBorder="1" applyAlignment="1">
      <alignment vertical="top"/>
    </xf>
    <xf numFmtId="0" fontId="3" fillId="3" borderId="4" xfId="0" applyFont="1" applyFill="1" applyBorder="1" applyAlignment="1">
      <alignment vertical="top"/>
    </xf>
    <xf numFmtId="0" fontId="3" fillId="3" borderId="5" xfId="0" applyFont="1" applyFill="1" applyBorder="1" applyAlignment="1">
      <alignment horizontal="center" vertical="top"/>
    </xf>
    <xf numFmtId="0" fontId="3" fillId="3" borderId="1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7" xfId="0" applyFont="1" applyFill="1" applyBorder="1" applyAlignment="1">
      <alignment horizontal="center"/>
    </xf>
    <xf numFmtId="0" fontId="3" fillId="2" borderId="0" xfId="0" applyFont="1" applyFill="1"/>
    <xf numFmtId="0" fontId="3" fillId="0" borderId="21" xfId="0" applyFont="1" applyBorder="1"/>
    <xf numFmtId="0" fontId="3" fillId="0" borderId="1" xfId="0" applyFont="1" applyBorder="1"/>
    <xf numFmtId="0" fontId="3" fillId="0" borderId="23" xfId="0" applyFont="1" applyBorder="1"/>
    <xf numFmtId="0" fontId="3" fillId="0" borderId="15" xfId="0" applyFont="1" applyBorder="1"/>
    <xf numFmtId="0" fontId="3" fillId="0" borderId="27" xfId="0" applyFont="1" applyBorder="1"/>
    <xf numFmtId="0" fontId="3" fillId="3" borderId="8" xfId="0" applyFont="1" applyFill="1" applyBorder="1"/>
    <xf numFmtId="0" fontId="3" fillId="3" borderId="0" xfId="0" applyFont="1" applyFill="1"/>
    <xf numFmtId="165" fontId="3" fillId="0" borderId="37" xfId="3" applyNumberFormat="1" applyFont="1" applyBorder="1" applyAlignment="1">
      <alignment horizontal="center" wrapText="1"/>
    </xf>
    <xf numFmtId="0" fontId="10" fillId="3" borderId="0" xfId="0" applyFont="1" applyFill="1" applyAlignment="1">
      <alignment vertical="top"/>
    </xf>
    <xf numFmtId="0" fontId="10" fillId="0" borderId="2" xfId="0" applyFont="1" applyBorder="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5" borderId="15"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5" xfId="0" applyFont="1" applyFill="1" applyBorder="1" applyAlignment="1">
      <alignment horizontal="center" vertical="center" wrapText="1"/>
    </xf>
    <xf numFmtId="0" fontId="56" fillId="5" borderId="1" xfId="0" applyFont="1" applyFill="1" applyBorder="1" applyAlignment="1">
      <alignment horizontal="center" vertical="center" wrapText="1"/>
    </xf>
    <xf numFmtId="0" fontId="25" fillId="2" borderId="0" xfId="0" applyFont="1" applyFill="1" applyAlignment="1">
      <alignment horizontal="center" wrapText="1"/>
    </xf>
    <xf numFmtId="0" fontId="3" fillId="2" borderId="0" xfId="0" applyFont="1" applyFill="1" applyAlignment="1">
      <alignment horizontal="center" wrapText="1"/>
    </xf>
    <xf numFmtId="0" fontId="10" fillId="0" borderId="21" xfId="0" applyFont="1" applyBorder="1" applyAlignment="1">
      <alignment horizontal="center" vertical="center" wrapText="1"/>
    </xf>
    <xf numFmtId="0" fontId="10" fillId="0" borderId="1" xfId="0" applyFont="1" applyBorder="1" applyAlignment="1">
      <alignment vertical="center"/>
    </xf>
    <xf numFmtId="0" fontId="10" fillId="0" borderId="12" xfId="0" applyFont="1" applyBorder="1" applyAlignment="1">
      <alignment vertical="center" wrapText="1"/>
    </xf>
    <xf numFmtId="0" fontId="3" fillId="2" borderId="1" xfId="0" applyFont="1" applyFill="1" applyBorder="1" applyAlignment="1">
      <alignment vertical="center" wrapText="1"/>
    </xf>
    <xf numFmtId="0" fontId="3" fillId="2" borderId="0" xfId="0" applyFont="1" applyFill="1" applyAlignment="1">
      <alignment wrapText="1"/>
    </xf>
    <xf numFmtId="0" fontId="10" fillId="0" borderId="12" xfId="0" applyFont="1" applyBorder="1" applyAlignment="1">
      <alignment vertical="center"/>
    </xf>
    <xf numFmtId="0" fontId="3" fillId="5" borderId="21" xfId="0" applyFont="1" applyFill="1" applyBorder="1" applyAlignment="1">
      <alignment horizontal="center" vertical="center"/>
    </xf>
    <xf numFmtId="0" fontId="3"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1" xfId="0" applyFont="1" applyBorder="1" applyAlignment="1">
      <alignment vertical="center" wrapText="1"/>
    </xf>
    <xf numFmtId="0" fontId="3" fillId="0" borderId="12" xfId="0" applyFont="1" applyBorder="1" applyAlignment="1">
      <alignment vertical="center" wrapText="1"/>
    </xf>
    <xf numFmtId="0" fontId="3" fillId="3" borderId="0" xfId="0" applyFont="1" applyFill="1" applyAlignment="1">
      <alignment vertical="top" wrapText="1"/>
    </xf>
    <xf numFmtId="0" fontId="3" fillId="0" borderId="0" xfId="0" applyFont="1" applyAlignment="1">
      <alignment wrapText="1"/>
    </xf>
    <xf numFmtId="0" fontId="10" fillId="5" borderId="1"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56" fillId="5" borderId="33"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1" xfId="0" applyFont="1" applyBorder="1" applyAlignment="1">
      <alignment horizontal="center" vertical="center" wrapText="1"/>
    </xf>
    <xf numFmtId="0" fontId="3" fillId="2" borderId="23" xfId="0" applyFont="1" applyFill="1" applyBorder="1" applyAlignment="1">
      <alignment vertical="center" wrapText="1"/>
    </xf>
    <xf numFmtId="0" fontId="3" fillId="2" borderId="1" xfId="0" applyFont="1" applyFill="1" applyBorder="1" applyAlignment="1">
      <alignment horizontal="center" vertical="center" wrapText="1"/>
    </xf>
    <xf numFmtId="0" fontId="59" fillId="3" borderId="0" xfId="0" applyFont="1" applyFill="1" applyAlignment="1">
      <alignment vertical="top" wrapText="1"/>
    </xf>
    <xf numFmtId="0" fontId="3" fillId="5" borderId="21"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2" borderId="9" xfId="0" applyFont="1" applyFill="1" applyBorder="1" applyAlignment="1">
      <alignment vertical="center" wrapText="1"/>
    </xf>
    <xf numFmtId="0" fontId="3" fillId="2" borderId="27" xfId="0" applyFont="1" applyFill="1" applyBorder="1" applyAlignment="1">
      <alignment vertical="center" wrapText="1"/>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3" borderId="39"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wrapText="1"/>
      <protection locked="0"/>
    </xf>
    <xf numFmtId="0" fontId="25" fillId="12" borderId="42" xfId="0" applyFont="1" applyFill="1" applyBorder="1" applyAlignment="1">
      <alignment horizontal="center" wrapText="1"/>
    </xf>
    <xf numFmtId="0" fontId="3" fillId="0" borderId="44" xfId="0" applyFont="1" applyBorder="1" applyAlignment="1">
      <alignment vertical="center" wrapText="1"/>
    </xf>
    <xf numFmtId="0" fontId="45" fillId="0" borderId="39" xfId="0" applyFont="1" applyBorder="1" applyAlignment="1">
      <alignment vertical="top" wrapText="1"/>
    </xf>
    <xf numFmtId="0" fontId="45" fillId="0" borderId="39" xfId="0" applyFont="1" applyBorder="1" applyAlignment="1">
      <alignment horizontal="left" vertical="top" wrapText="1"/>
    </xf>
    <xf numFmtId="0" fontId="12" fillId="0" borderId="42" xfId="0" applyFont="1" applyBorder="1" applyAlignment="1">
      <alignment wrapText="1"/>
    </xf>
    <xf numFmtId="0" fontId="12" fillId="0" borderId="44" xfId="0" applyFont="1" applyBorder="1" applyAlignment="1">
      <alignment vertical="center" wrapText="1"/>
    </xf>
    <xf numFmtId="0" fontId="10" fillId="0" borderId="1" xfId="0" applyFont="1" applyBorder="1" applyAlignment="1">
      <alignment horizontal="left" vertical="top" wrapText="1"/>
    </xf>
    <xf numFmtId="0" fontId="10" fillId="0" borderId="1" xfId="0" applyFont="1" applyBorder="1" applyAlignment="1">
      <alignment horizontal="center" vertical="center"/>
    </xf>
    <xf numFmtId="0" fontId="25" fillId="3" borderId="0" xfId="0" applyFont="1" applyFill="1" applyAlignment="1">
      <alignment vertical="top" wrapText="1"/>
    </xf>
    <xf numFmtId="0" fontId="56" fillId="3" borderId="0" xfId="0" applyFont="1" applyFill="1" applyAlignment="1">
      <alignment horizontal="center" vertical="center" wrapText="1"/>
    </xf>
    <xf numFmtId="0" fontId="2" fillId="12" borderId="1" xfId="0" applyFont="1" applyFill="1" applyBorder="1" applyAlignment="1" applyProtection="1">
      <alignment horizontal="center" vertical="center"/>
      <protection locked="0"/>
    </xf>
    <xf numFmtId="0" fontId="2" fillId="12" borderId="1" xfId="0" applyFont="1" applyFill="1" applyBorder="1" applyAlignment="1" applyProtection="1">
      <alignment horizontal="left" vertical="top"/>
      <protection locked="0"/>
    </xf>
    <xf numFmtId="0" fontId="25" fillId="0" borderId="43" xfId="0" applyFont="1" applyBorder="1" applyAlignment="1">
      <alignment horizontal="center" wrapText="1"/>
    </xf>
    <xf numFmtId="0" fontId="25" fillId="3" borderId="39" xfId="0" applyFont="1" applyFill="1" applyBorder="1" applyAlignment="1" applyProtection="1">
      <alignment horizontal="center" vertical="center" wrapText="1"/>
      <protection locked="0"/>
    </xf>
    <xf numFmtId="0" fontId="30" fillId="3" borderId="39" xfId="0" applyFont="1" applyFill="1" applyBorder="1" applyAlignment="1" applyProtection="1">
      <alignment horizontal="center" vertical="center" wrapText="1"/>
      <protection locked="0"/>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2" fillId="17" borderId="8" xfId="0" applyFont="1" applyFill="1" applyBorder="1" applyAlignment="1" applyProtection="1">
      <alignment horizontal="center" vertical="center" wrapText="1"/>
      <protection locked="0"/>
    </xf>
    <xf numFmtId="0" fontId="67" fillId="12" borderId="14" xfId="0" applyFont="1" applyFill="1" applyBorder="1" applyAlignment="1">
      <alignment horizontal="left" wrapText="1"/>
    </xf>
    <xf numFmtId="0" fontId="69" fillId="12" borderId="12" xfId="0" applyFont="1" applyFill="1" applyBorder="1" applyAlignment="1">
      <alignment horizontal="left" wrapText="1"/>
    </xf>
    <xf numFmtId="0" fontId="10" fillId="17" borderId="1" xfId="0" applyFont="1" applyFill="1" applyBorder="1" applyAlignment="1">
      <alignment wrapText="1"/>
    </xf>
    <xf numFmtId="0" fontId="29" fillId="3" borderId="0" xfId="0" applyFont="1" applyFill="1" applyAlignment="1">
      <alignment horizontal="center" vertical="center" wrapText="1"/>
    </xf>
    <xf numFmtId="0" fontId="29" fillId="2" borderId="2" xfId="0" applyFont="1" applyFill="1" applyBorder="1" applyAlignment="1">
      <alignment vertical="center" wrapText="1"/>
    </xf>
    <xf numFmtId="0" fontId="29" fillId="2" borderId="1" xfId="0" applyFont="1" applyFill="1" applyBorder="1" applyAlignment="1">
      <alignment vertical="center" wrapText="1"/>
    </xf>
    <xf numFmtId="0" fontId="29" fillId="2" borderId="1" xfId="0" applyFont="1" applyFill="1" applyBorder="1" applyAlignment="1">
      <alignment horizontal="center" vertical="center" wrapText="1"/>
    </xf>
    <xf numFmtId="0" fontId="10" fillId="0" borderId="1" xfId="0" applyFont="1" applyBorder="1" applyAlignment="1">
      <alignment vertical="top" wrapText="1"/>
    </xf>
    <xf numFmtId="0" fontId="2" fillId="3" borderId="0" xfId="0" applyFont="1" applyFill="1" applyAlignment="1">
      <alignment vertical="top"/>
    </xf>
    <xf numFmtId="0" fontId="2" fillId="3" borderId="0" xfId="0" applyFont="1" applyFill="1" applyAlignment="1">
      <alignment horizontal="left" vertical="top" wrapText="1"/>
    </xf>
    <xf numFmtId="0" fontId="10" fillId="12" borderId="1" xfId="0" applyFont="1" applyFill="1" applyBorder="1" applyAlignment="1">
      <alignment horizontal="center" vertical="center" wrapText="1"/>
    </xf>
    <xf numFmtId="0" fontId="25" fillId="0" borderId="8" xfId="0" applyFont="1" applyBorder="1" applyAlignment="1" applyProtection="1">
      <alignment horizontal="center" vertical="center" wrapText="1"/>
      <protection locked="0"/>
    </xf>
    <xf numFmtId="0" fontId="25" fillId="0" borderId="39" xfId="0" applyFont="1" applyBorder="1" applyAlignment="1" applyProtection="1">
      <alignment horizontal="center" vertical="center" wrapText="1"/>
      <protection locked="0"/>
    </xf>
    <xf numFmtId="0" fontId="3" fillId="5" borderId="1" xfId="0" applyFont="1" applyFill="1" applyBorder="1" applyAlignment="1">
      <alignment horizontal="center"/>
    </xf>
    <xf numFmtId="0" fontId="10" fillId="0" borderId="9" xfId="0" applyFont="1" applyBorder="1" applyAlignment="1">
      <alignment horizontal="left" vertical="top" wrapText="1"/>
    </xf>
    <xf numFmtId="0" fontId="55" fillId="3" borderId="13" xfId="0" applyFont="1" applyFill="1" applyBorder="1" applyAlignment="1">
      <alignment vertical="center"/>
    </xf>
    <xf numFmtId="0" fontId="55" fillId="3" borderId="12" xfId="0" applyFont="1" applyFill="1" applyBorder="1" applyAlignment="1">
      <alignment vertical="center"/>
    </xf>
    <xf numFmtId="0" fontId="55" fillId="3" borderId="8" xfId="0" applyFont="1" applyFill="1" applyBorder="1" applyAlignment="1">
      <alignment vertical="center"/>
    </xf>
    <xf numFmtId="0" fontId="55" fillId="3" borderId="36" xfId="0" applyFont="1" applyFill="1" applyBorder="1" applyAlignment="1">
      <alignment vertical="center"/>
    </xf>
    <xf numFmtId="0" fontId="55" fillId="3" borderId="0" xfId="0" applyFont="1" applyFill="1" applyAlignment="1">
      <alignment vertical="center"/>
    </xf>
    <xf numFmtId="0" fontId="10" fillId="3" borderId="0" xfId="0" applyFont="1" applyFill="1" applyAlignment="1">
      <alignment vertical="center" wrapText="1"/>
    </xf>
    <xf numFmtId="0" fontId="57" fillId="3" borderId="0" xfId="0" applyFont="1" applyFill="1" applyAlignment="1">
      <alignment vertical="center" wrapText="1"/>
    </xf>
    <xf numFmtId="0" fontId="55" fillId="3" borderId="0" xfId="0" applyFont="1" applyFill="1"/>
    <xf numFmtId="0" fontId="10" fillId="3" borderId="33" xfId="0" applyFont="1" applyFill="1" applyBorder="1" applyAlignment="1">
      <alignment vertical="center" wrapText="1"/>
    </xf>
    <xf numFmtId="0" fontId="60" fillId="3" borderId="0" xfId="0" applyFont="1" applyFill="1" applyAlignment="1">
      <alignment vertical="center" wrapText="1"/>
    </xf>
    <xf numFmtId="0" fontId="3" fillId="3" borderId="17" xfId="0" applyFont="1" applyFill="1" applyBorder="1"/>
    <xf numFmtId="0" fontId="3" fillId="3" borderId="4" xfId="0" applyFont="1" applyFill="1" applyBorder="1"/>
    <xf numFmtId="165" fontId="3" fillId="0" borderId="52" xfId="3" applyNumberFormat="1" applyFont="1" applyBorder="1" applyAlignment="1">
      <alignment horizontal="center" wrapText="1"/>
    </xf>
    <xf numFmtId="165" fontId="10" fillId="0" borderId="23" xfId="3" applyNumberFormat="1" applyFont="1" applyBorder="1" applyAlignment="1">
      <alignment horizontal="center" vertical="top"/>
    </xf>
    <xf numFmtId="165" fontId="10" fillId="0" borderId="55" xfId="3" applyNumberFormat="1" applyFont="1" applyBorder="1" applyAlignment="1">
      <alignment horizontal="center" vertical="top"/>
    </xf>
    <xf numFmtId="0" fontId="25" fillId="0" borderId="42" xfId="0" applyFont="1" applyBorder="1" applyAlignment="1">
      <alignment horizontal="center" wrapText="1"/>
    </xf>
    <xf numFmtId="0" fontId="10" fillId="12" borderId="33" xfId="0" applyFont="1" applyFill="1" applyBorder="1" applyAlignment="1">
      <alignment horizontal="center" wrapText="1"/>
    </xf>
    <xf numFmtId="0" fontId="12" fillId="0" borderId="1" xfId="0" applyFont="1" applyBorder="1" applyAlignment="1">
      <alignment horizontal="left" vertical="top" wrapText="1"/>
    </xf>
    <xf numFmtId="0" fontId="2" fillId="3" borderId="12" xfId="0" applyFont="1" applyFill="1" applyBorder="1" applyAlignment="1" applyProtection="1">
      <alignment horizontal="left" vertical="center" wrapText="1"/>
      <protection locked="0"/>
    </xf>
    <xf numFmtId="0" fontId="25" fillId="3" borderId="1" xfId="0" applyFont="1" applyFill="1" applyBorder="1" applyAlignment="1">
      <alignment horizontal="center" wrapText="1"/>
    </xf>
    <xf numFmtId="0" fontId="25" fillId="17" borderId="1" xfId="0" applyFont="1" applyFill="1" applyBorder="1" applyAlignment="1">
      <alignment horizontal="center" wrapText="1"/>
    </xf>
    <xf numFmtId="0" fontId="30" fillId="17" borderId="44" xfId="0" applyFont="1" applyFill="1" applyBorder="1" applyAlignment="1" applyProtection="1">
      <alignment horizontal="center" vertical="center" wrapText="1"/>
      <protection locked="0"/>
    </xf>
    <xf numFmtId="0" fontId="25" fillId="17" borderId="13" xfId="0" applyFont="1" applyFill="1" applyBorder="1" applyAlignment="1" applyProtection="1">
      <alignment horizontal="center" vertical="center" wrapText="1"/>
      <protection locked="0"/>
    </xf>
    <xf numFmtId="0" fontId="2" fillId="17" borderId="12" xfId="0" applyFont="1" applyFill="1" applyBorder="1" applyAlignment="1" applyProtection="1">
      <alignment horizontal="center" vertical="center" wrapText="1"/>
      <protection locked="0"/>
    </xf>
    <xf numFmtId="0" fontId="30" fillId="3" borderId="44" xfId="0" applyFont="1" applyFill="1" applyBorder="1" applyAlignment="1" applyProtection="1">
      <alignment horizontal="center" vertical="center" wrapText="1"/>
      <protection locked="0"/>
    </xf>
    <xf numFmtId="0" fontId="25" fillId="3" borderId="13"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12" fillId="0" borderId="39" xfId="0" applyFont="1" applyBorder="1" applyAlignment="1">
      <alignment horizontal="left" vertical="top" wrapText="1"/>
    </xf>
    <xf numFmtId="0" fontId="10" fillId="0" borderId="9" xfId="0" applyFont="1" applyBorder="1" applyAlignment="1">
      <alignment vertical="center" wrapText="1"/>
    </xf>
    <xf numFmtId="0" fontId="12" fillId="0" borderId="41" xfId="0" applyFont="1" applyBorder="1" applyAlignment="1">
      <alignment wrapText="1"/>
    </xf>
    <xf numFmtId="0" fontId="12" fillId="0" borderId="2" xfId="0" applyFont="1" applyBorder="1" applyAlignment="1">
      <alignment wrapText="1"/>
    </xf>
    <xf numFmtId="0" fontId="61" fillId="12" borderId="39" xfId="0" applyFont="1" applyFill="1" applyBorder="1" applyAlignment="1">
      <alignment horizontal="left" vertical="top" wrapText="1"/>
    </xf>
    <xf numFmtId="0" fontId="3" fillId="12" borderId="41" xfId="0" applyFont="1" applyFill="1" applyBorder="1" applyAlignment="1">
      <alignment vertical="center" wrapText="1"/>
    </xf>
    <xf numFmtId="0" fontId="10" fillId="12" borderId="39" xfId="0" applyFont="1" applyFill="1" applyBorder="1" applyAlignment="1">
      <alignment horizontal="left" vertical="top" wrapText="1"/>
    </xf>
    <xf numFmtId="0" fontId="2" fillId="0" borderId="0" xfId="0" applyFont="1" applyAlignment="1" applyProtection="1">
      <alignment vertical="top" wrapText="1"/>
      <protection locked="0"/>
    </xf>
    <xf numFmtId="0" fontId="10" fillId="0" borderId="12" xfId="0" applyFont="1" applyBorder="1" applyAlignment="1" applyProtection="1">
      <alignment horizontal="left" vertical="top" wrapText="1"/>
      <protection locked="0"/>
    </xf>
    <xf numFmtId="0" fontId="2" fillId="0" borderId="12" xfId="0" applyFont="1" applyBorder="1" applyAlignment="1" applyProtection="1">
      <alignment horizontal="left" vertical="center" wrapText="1"/>
      <protection locked="0"/>
    </xf>
    <xf numFmtId="0" fontId="12" fillId="0" borderId="1" xfId="0" applyFont="1" applyBorder="1" applyAlignment="1" applyProtection="1">
      <alignment horizontal="left" vertical="top" wrapText="1"/>
      <protection locked="0"/>
    </xf>
    <xf numFmtId="0" fontId="12" fillId="0" borderId="1" xfId="0" applyFont="1" applyBorder="1" applyAlignment="1">
      <alignment horizontal="left" wrapText="1"/>
    </xf>
    <xf numFmtId="0" fontId="12" fillId="0" borderId="25" xfId="0" applyFont="1" applyBorder="1" applyAlignment="1">
      <alignment wrapText="1"/>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wrapText="1" indent="2"/>
      <protection locked="0"/>
    </xf>
    <xf numFmtId="0" fontId="25" fillId="3" borderId="44" xfId="0" applyFont="1" applyFill="1" applyBorder="1" applyAlignment="1">
      <alignment horizontal="center" wrapText="1"/>
    </xf>
    <xf numFmtId="0" fontId="12" fillId="0" borderId="1" xfId="0" applyFont="1" applyBorder="1" applyAlignment="1">
      <alignment horizontal="left" vertical="center" wrapText="1"/>
    </xf>
    <xf numFmtId="0" fontId="10" fillId="0" borderId="36" xfId="0" applyFont="1" applyBorder="1" applyAlignment="1">
      <alignment wrapText="1"/>
    </xf>
    <xf numFmtId="0" fontId="10" fillId="0" borderId="56" xfId="0" applyFont="1" applyBorder="1" applyAlignment="1">
      <alignment wrapText="1"/>
    </xf>
    <xf numFmtId="0" fontId="3" fillId="0" borderId="44" xfId="0" applyFont="1" applyBorder="1" applyAlignment="1">
      <alignment horizontal="center" vertical="center" wrapText="1"/>
    </xf>
    <xf numFmtId="0" fontId="3" fillId="10" borderId="44" xfId="0" applyFont="1" applyFill="1" applyBorder="1" applyAlignment="1">
      <alignment vertical="center" wrapText="1"/>
    </xf>
    <xf numFmtId="0" fontId="10" fillId="0" borderId="39" xfId="0" applyFont="1" applyBorder="1" applyAlignment="1">
      <alignment horizontal="center" vertical="center" wrapText="1"/>
    </xf>
    <xf numFmtId="0" fontId="10" fillId="10" borderId="36" xfId="0" applyFont="1" applyFill="1" applyBorder="1" applyAlignment="1">
      <alignment vertical="center" wrapText="1"/>
    </xf>
    <xf numFmtId="0" fontId="10" fillId="0" borderId="36" xfId="0" applyFont="1" applyBorder="1" applyAlignment="1">
      <alignment horizontal="center" wrapText="1"/>
    </xf>
    <xf numFmtId="0" fontId="10" fillId="10" borderId="36" xfId="0" applyFont="1" applyFill="1" applyBorder="1" applyAlignment="1">
      <alignment horizontal="center" wrapText="1"/>
    </xf>
    <xf numFmtId="49" fontId="47" fillId="0" borderId="36" xfId="0" applyNumberFormat="1" applyFont="1" applyBorder="1" applyAlignment="1">
      <alignment horizontal="right" wrapText="1"/>
    </xf>
    <xf numFmtId="43" fontId="47" fillId="0" borderId="33" xfId="2" applyFont="1" applyBorder="1" applyAlignment="1">
      <alignment horizontal="right" wrapText="1"/>
    </xf>
    <xf numFmtId="164" fontId="47" fillId="0" borderId="36" xfId="2" applyNumberFormat="1" applyFont="1" applyBorder="1" applyAlignment="1">
      <alignment horizontal="right" wrapText="1"/>
    </xf>
    <xf numFmtId="16" fontId="10" fillId="0" borderId="39" xfId="0" applyNumberFormat="1" applyFont="1" applyBorder="1" applyAlignment="1">
      <alignment horizontal="right" wrapText="1"/>
    </xf>
    <xf numFmtId="0" fontId="10" fillId="0" borderId="39" xfId="0" applyFont="1" applyBorder="1" applyAlignment="1">
      <alignment horizontal="right" wrapText="1"/>
    </xf>
    <xf numFmtId="0" fontId="10" fillId="10" borderId="39" xfId="0" applyFont="1" applyFill="1" applyBorder="1" applyAlignment="1">
      <alignment horizontal="left" wrapText="1"/>
    </xf>
    <xf numFmtId="49" fontId="10" fillId="0" borderId="39" xfId="0" applyNumberFormat="1" applyFont="1" applyBorder="1" applyAlignment="1">
      <alignment horizontal="right" wrapText="1"/>
    </xf>
    <xf numFmtId="16" fontId="10" fillId="0" borderId="43" xfId="0" applyNumberFormat="1" applyFont="1" applyBorder="1" applyAlignment="1">
      <alignment horizontal="right" wrapText="1"/>
    </xf>
    <xf numFmtId="43" fontId="10" fillId="0" borderId="42" xfId="2" applyFont="1" applyBorder="1" applyAlignment="1">
      <alignment horizontal="right" wrapText="1"/>
    </xf>
    <xf numFmtId="0" fontId="10" fillId="10" borderId="39" xfId="0" applyFont="1" applyFill="1" applyBorder="1" applyAlignment="1">
      <alignment vertical="center" wrapText="1"/>
    </xf>
    <xf numFmtId="164" fontId="10" fillId="0" borderId="39" xfId="2" applyNumberFormat="1" applyFont="1" applyBorder="1" applyAlignment="1">
      <alignment horizontal="right"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10" fillId="12" borderId="45" xfId="0" applyFont="1" applyFill="1" applyBorder="1" applyAlignment="1">
      <alignment vertical="top" wrapText="1"/>
    </xf>
    <xf numFmtId="0" fontId="61" fillId="12" borderId="41" xfId="0" applyFont="1" applyFill="1" applyBorder="1" applyAlignment="1">
      <alignment horizontal="center" vertical="center" wrapText="1"/>
    </xf>
    <xf numFmtId="0" fontId="3" fillId="0" borderId="25" xfId="0" applyFont="1" applyBorder="1"/>
    <xf numFmtId="0" fontId="3" fillId="0" borderId="30" xfId="0" applyFont="1" applyBorder="1"/>
    <xf numFmtId="0" fontId="3" fillId="0" borderId="31" xfId="0" applyFont="1" applyBorder="1"/>
    <xf numFmtId="0" fontId="77" fillId="12" borderId="41" xfId="0" applyFont="1" applyFill="1" applyBorder="1" applyAlignment="1">
      <alignment horizontal="center" vertical="center" wrapText="1"/>
    </xf>
    <xf numFmtId="0" fontId="77" fillId="12" borderId="41" xfId="0" applyFont="1" applyFill="1" applyBorder="1" applyAlignment="1">
      <alignment horizontal="center" wrapText="1"/>
    </xf>
    <xf numFmtId="0" fontId="77" fillId="12" borderId="33" xfId="0" applyFont="1" applyFill="1" applyBorder="1" applyAlignment="1">
      <alignment horizontal="center" wrapText="1"/>
    </xf>
    <xf numFmtId="0" fontId="70" fillId="0" borderId="45" xfId="0" applyFont="1" applyBorder="1" applyAlignment="1">
      <alignment vertical="top" wrapText="1"/>
    </xf>
    <xf numFmtId="0" fontId="30" fillId="0" borderId="1" xfId="0" applyFont="1" applyBorder="1" applyAlignment="1" applyProtection="1">
      <alignment horizontal="center" vertical="center"/>
      <protection locked="0"/>
    </xf>
    <xf numFmtId="0" fontId="55" fillId="9" borderId="13" xfId="0" applyFont="1" applyFill="1" applyBorder="1" applyAlignment="1">
      <alignment vertical="center" wrapText="1"/>
    </xf>
    <xf numFmtId="0" fontId="55" fillId="9" borderId="36" xfId="0" applyFont="1" applyFill="1" applyBorder="1" applyAlignment="1">
      <alignment vertical="center" wrapText="1"/>
    </xf>
    <xf numFmtId="0" fontId="10" fillId="3" borderId="13"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3" fillId="3" borderId="8" xfId="0" applyFont="1" applyFill="1" applyBorder="1" applyAlignment="1">
      <alignment vertical="center" wrapText="1"/>
    </xf>
    <xf numFmtId="0" fontId="3" fillId="2" borderId="35" xfId="0" applyFont="1" applyFill="1" applyBorder="1" applyAlignment="1">
      <alignment horizontal="center" vertical="center" wrapText="1"/>
    </xf>
    <xf numFmtId="0" fontId="3" fillId="2" borderId="13" xfId="0" applyFont="1" applyFill="1" applyBorder="1" applyAlignment="1">
      <alignment vertical="center" wrapText="1"/>
    </xf>
    <xf numFmtId="0" fontId="3" fillId="2" borderId="2" xfId="0" applyFont="1" applyFill="1" applyBorder="1" applyAlignment="1">
      <alignment vertical="center" wrapText="1"/>
    </xf>
    <xf numFmtId="0" fontId="3" fillId="0" borderId="13" xfId="0" applyFont="1" applyBorder="1" applyAlignment="1">
      <alignment vertical="center" wrapText="1"/>
    </xf>
    <xf numFmtId="0" fontId="3" fillId="2" borderId="8"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2" borderId="36" xfId="0" applyFont="1" applyFill="1" applyBorder="1" applyAlignment="1">
      <alignment vertical="center" wrapText="1"/>
    </xf>
    <xf numFmtId="0" fontId="3" fillId="3" borderId="3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13" xfId="0" applyFont="1" applyFill="1" applyBorder="1" applyAlignment="1">
      <alignment horizontal="center" vertical="center" wrapText="1"/>
    </xf>
    <xf numFmtId="0" fontId="3" fillId="3" borderId="13" xfId="0" applyFont="1" applyFill="1" applyBorder="1" applyAlignment="1">
      <alignment vertical="center" wrapText="1"/>
    </xf>
    <xf numFmtId="0" fontId="3" fillId="3" borderId="36" xfId="0" applyFont="1" applyFill="1" applyBorder="1" applyAlignment="1">
      <alignment vertical="center" wrapText="1"/>
    </xf>
    <xf numFmtId="0" fontId="12" fillId="0" borderId="1" xfId="0" applyFont="1" applyBorder="1" applyAlignment="1">
      <alignment vertical="top" wrapText="1"/>
    </xf>
    <xf numFmtId="0" fontId="10" fillId="0" borderId="35"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25" fillId="0" borderId="1" xfId="0" applyFont="1" applyBorder="1" applyProtection="1">
      <protection locked="0"/>
    </xf>
    <xf numFmtId="0" fontId="3" fillId="3" borderId="14" xfId="0" applyFont="1" applyFill="1" applyBorder="1" applyAlignment="1" applyProtection="1">
      <alignment horizontal="center" wrapText="1"/>
      <protection locked="0"/>
    </xf>
    <xf numFmtId="0" fontId="29"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2" xfId="0" applyFont="1" applyFill="1" applyBorder="1" applyAlignment="1">
      <alignment horizontal="center" wrapText="1"/>
    </xf>
    <xf numFmtId="0" fontId="2" fillId="2" borderId="12" xfId="0" applyFont="1" applyFill="1" applyBorder="1" applyAlignment="1">
      <alignment horizontal="center"/>
    </xf>
    <xf numFmtId="0" fontId="2" fillId="2" borderId="1" xfId="0" applyFont="1" applyFill="1" applyBorder="1" applyAlignment="1">
      <alignment horizontal="center" vertical="center"/>
    </xf>
    <xf numFmtId="0" fontId="10" fillId="12" borderId="9" xfId="0" applyFont="1" applyFill="1" applyBorder="1" applyAlignment="1">
      <alignment wrapText="1"/>
    </xf>
    <xf numFmtId="0" fontId="10" fillId="12" borderId="10" xfId="0" applyFont="1" applyFill="1" applyBorder="1" applyAlignment="1">
      <alignment wrapText="1"/>
    </xf>
    <xf numFmtId="0" fontId="10" fillId="12" borderId="47" xfId="0" applyFont="1" applyFill="1" applyBorder="1" applyAlignment="1">
      <alignment wrapText="1"/>
    </xf>
    <xf numFmtId="0" fontId="10" fillId="12" borderId="5" xfId="0" applyFont="1" applyFill="1" applyBorder="1" applyAlignment="1">
      <alignment wrapText="1"/>
    </xf>
    <xf numFmtId="0" fontId="10" fillId="12" borderId="1" xfId="0" applyFont="1" applyFill="1" applyBorder="1" applyAlignment="1">
      <alignment horizontal="center" wrapText="1"/>
    </xf>
    <xf numFmtId="0" fontId="2" fillId="3" borderId="1" xfId="0" applyFont="1" applyFill="1" applyBorder="1" applyAlignment="1" applyProtection="1">
      <alignment horizontal="left" vertical="center" wrapText="1"/>
      <protection locked="0"/>
    </xf>
    <xf numFmtId="0" fontId="25" fillId="17" borderId="1" xfId="0" applyFont="1" applyFill="1" applyBorder="1" applyAlignment="1" applyProtection="1">
      <alignment horizontal="center" vertical="center" wrapText="1"/>
      <protection locked="0"/>
    </xf>
    <xf numFmtId="0" fontId="10" fillId="5" borderId="9" xfId="0" applyFont="1" applyFill="1" applyBorder="1" applyAlignment="1">
      <alignment horizontal="center" vertical="center" wrapText="1"/>
    </xf>
    <xf numFmtId="0" fontId="3" fillId="6" borderId="45" xfId="0" applyFont="1" applyFill="1" applyBorder="1" applyAlignment="1">
      <alignment horizontal="left" vertical="center" wrapText="1"/>
    </xf>
    <xf numFmtId="0" fontId="86" fillId="0" borderId="45" xfId="0" applyFont="1" applyBorder="1" applyAlignment="1">
      <alignment vertical="center" wrapText="1"/>
    </xf>
    <xf numFmtId="0" fontId="87" fillId="0" borderId="59" xfId="0" applyFont="1" applyBorder="1" applyAlignment="1">
      <alignment vertical="center" wrapText="1"/>
    </xf>
    <xf numFmtId="0" fontId="88" fillId="0" borderId="46" xfId="0" applyFont="1" applyBorder="1" applyAlignment="1">
      <alignment horizontal="left" vertical="center" wrapText="1" indent="1"/>
    </xf>
    <xf numFmtId="0" fontId="86" fillId="0" borderId="31" xfId="0" applyFont="1" applyBorder="1" applyAlignment="1">
      <alignment vertical="center" wrapText="1"/>
    </xf>
    <xf numFmtId="0" fontId="86" fillId="0" borderId="46" xfId="0" applyFont="1" applyBorder="1" applyAlignment="1">
      <alignment vertical="center" wrapText="1"/>
    </xf>
    <xf numFmtId="0" fontId="86" fillId="0" borderId="42" xfId="0" applyFont="1" applyBorder="1" applyAlignment="1">
      <alignment vertical="center" wrapText="1"/>
    </xf>
    <xf numFmtId="0" fontId="88" fillId="0" borderId="42" xfId="0" applyFont="1" applyBorder="1" applyAlignment="1">
      <alignment horizontal="left" vertical="center" wrapText="1" indent="5"/>
    </xf>
    <xf numFmtId="0" fontId="88" fillId="0" borderId="46" xfId="0" applyFont="1" applyBorder="1" applyAlignment="1">
      <alignment horizontal="left" vertical="center" wrapText="1" indent="5"/>
    </xf>
    <xf numFmtId="0" fontId="90" fillId="0" borderId="42" xfId="0" applyFont="1" applyBorder="1" applyAlignment="1">
      <alignment horizontal="left" vertical="center" wrapText="1" indent="5"/>
    </xf>
    <xf numFmtId="0" fontId="0" fillId="0" borderId="0" xfId="0" applyAlignment="1">
      <alignment vertical="center"/>
    </xf>
    <xf numFmtId="0" fontId="91" fillId="18" borderId="58" xfId="4" applyFont="1"/>
    <xf numFmtId="0" fontId="91" fillId="18" borderId="58" xfId="4" applyFont="1" applyAlignment="1">
      <alignment wrapText="1"/>
    </xf>
    <xf numFmtId="0" fontId="92" fillId="18" borderId="58" xfId="4" applyFont="1"/>
    <xf numFmtId="0" fontId="12" fillId="0" borderId="42" xfId="0" applyFont="1" applyBorder="1" applyAlignment="1" applyProtection="1">
      <alignment vertical="top" wrapText="1"/>
      <protection locked="0"/>
    </xf>
    <xf numFmtId="0" fontId="10" fillId="0" borderId="42" xfId="0" applyFont="1" applyBorder="1" applyAlignment="1">
      <alignment horizontal="right" wrapText="1"/>
    </xf>
    <xf numFmtId="0" fontId="47" fillId="0" borderId="33" xfId="0" applyFont="1" applyBorder="1" applyAlignment="1">
      <alignment horizontal="right" wrapText="1"/>
    </xf>
    <xf numFmtId="0" fontId="10" fillId="0" borderId="45" xfId="0" applyFont="1" applyBorder="1" applyAlignment="1">
      <alignment horizontal="right" wrapText="1"/>
    </xf>
    <xf numFmtId="0" fontId="47" fillId="0" borderId="59" xfId="0" applyFont="1" applyBorder="1" applyAlignment="1">
      <alignment horizontal="right" wrapText="1"/>
    </xf>
    <xf numFmtId="0" fontId="25" fillId="12" borderId="7" xfId="0" applyFont="1" applyFill="1" applyBorder="1" applyAlignment="1">
      <alignment horizontal="left" wrapText="1"/>
    </xf>
    <xf numFmtId="0" fontId="10" fillId="3" borderId="1" xfId="0" applyFont="1" applyFill="1" applyBorder="1" applyAlignment="1">
      <alignment wrapText="1"/>
    </xf>
    <xf numFmtId="0" fontId="37" fillId="14" borderId="1" xfId="0" applyFont="1" applyFill="1" applyBorder="1" applyAlignment="1">
      <alignment horizontal="center"/>
    </xf>
    <xf numFmtId="0" fontId="10" fillId="0" borderId="1" xfId="0" applyFont="1" applyBorder="1" applyAlignment="1">
      <alignment horizontal="center" vertical="top" wrapText="1"/>
    </xf>
    <xf numFmtId="0" fontId="10" fillId="0" borderId="8" xfId="0" applyFont="1" applyBorder="1" applyAlignment="1">
      <alignment horizontal="center" vertical="top" wrapText="1"/>
    </xf>
    <xf numFmtId="0" fontId="70" fillId="0" borderId="0" xfId="0" applyFont="1" applyAlignment="1" applyProtection="1">
      <alignment vertical="center"/>
      <protection locked="0"/>
    </xf>
    <xf numFmtId="0" fontId="10" fillId="17" borderId="12" xfId="0" applyFont="1" applyFill="1" applyBorder="1" applyAlignment="1" applyProtection="1">
      <alignment horizontal="left" vertical="center" wrapText="1"/>
      <protection locked="0"/>
    </xf>
    <xf numFmtId="0" fontId="0" fillId="0" borderId="0" xfId="0" applyAlignment="1" applyProtection="1">
      <alignment vertical="top"/>
      <protection locked="0"/>
    </xf>
    <xf numFmtId="0" fontId="76" fillId="0" borderId="0" xfId="0" applyFont="1" applyAlignment="1" applyProtection="1">
      <alignment vertical="center"/>
      <protection locked="0"/>
    </xf>
    <xf numFmtId="0" fontId="0" fillId="2" borderId="0" xfId="0" applyFill="1" applyAlignment="1">
      <alignment vertical="top"/>
    </xf>
    <xf numFmtId="0" fontId="12" fillId="19" borderId="1" xfId="0" applyFont="1" applyFill="1" applyBorder="1" applyAlignment="1" applyProtection="1">
      <alignment horizontal="left" vertical="center" wrapText="1"/>
      <protection locked="0"/>
    </xf>
    <xf numFmtId="0" fontId="70" fillId="0" borderId="0" xfId="0" applyFont="1" applyAlignment="1" applyProtection="1">
      <alignment vertical="center" wrapText="1"/>
      <protection locked="0"/>
    </xf>
    <xf numFmtId="0" fontId="1" fillId="0" borderId="0" xfId="0" applyFont="1" applyAlignment="1">
      <alignment wrapText="1"/>
    </xf>
    <xf numFmtId="0" fontId="32" fillId="12" borderId="5" xfId="0" applyFont="1" applyFill="1" applyBorder="1" applyAlignment="1" applyProtection="1">
      <alignment horizontal="left" vertical="top"/>
      <protection locked="0"/>
    </xf>
    <xf numFmtId="0" fontId="28" fillId="12" borderId="3" xfId="0" applyFont="1" applyFill="1" applyBorder="1" applyAlignment="1" applyProtection="1">
      <alignment horizontal="left" vertical="top" wrapText="1"/>
      <protection locked="0"/>
    </xf>
    <xf numFmtId="0" fontId="12" fillId="12" borderId="8" xfId="0" applyFont="1" applyFill="1" applyBorder="1" applyAlignment="1" applyProtection="1">
      <alignment wrapText="1"/>
      <protection locked="0"/>
    </xf>
    <xf numFmtId="0" fontId="12" fillId="0" borderId="8" xfId="0" applyFont="1" applyBorder="1" applyAlignment="1" applyProtection="1">
      <alignment vertical="top" wrapText="1"/>
      <protection locked="0"/>
    </xf>
    <xf numFmtId="0" fontId="12" fillId="0" borderId="8" xfId="0" applyFont="1" applyBorder="1" applyAlignment="1" applyProtection="1">
      <alignment vertical="top"/>
      <protection locked="0"/>
    </xf>
    <xf numFmtId="0" fontId="2" fillId="2" borderId="41" xfId="0" applyFont="1" applyFill="1" applyBorder="1" applyProtection="1">
      <protection locked="0"/>
    </xf>
    <xf numFmtId="0" fontId="2" fillId="2" borderId="46" xfId="0" applyFont="1" applyFill="1" applyBorder="1" applyAlignment="1" applyProtection="1">
      <alignment vertical="top"/>
      <protection locked="0"/>
    </xf>
    <xf numFmtId="0" fontId="2" fillId="12" borderId="42" xfId="0" applyFont="1" applyFill="1" applyBorder="1" applyProtection="1">
      <protection locked="0"/>
    </xf>
    <xf numFmtId="0" fontId="70" fillId="0" borderId="0" xfId="0" applyFont="1" applyAlignment="1" applyProtection="1">
      <alignment horizontal="center" vertical="center" wrapText="1"/>
      <protection locked="0"/>
    </xf>
    <xf numFmtId="0" fontId="61" fillId="12" borderId="59" xfId="0" applyFont="1" applyFill="1" applyBorder="1" applyAlignment="1">
      <alignment horizontal="left" wrapText="1"/>
    </xf>
    <xf numFmtId="0" fontId="12" fillId="0" borderId="7" xfId="0" applyFont="1" applyBorder="1" applyAlignment="1" applyProtection="1">
      <alignment horizontal="left" wrapText="1"/>
      <protection locked="0"/>
    </xf>
    <xf numFmtId="0" fontId="12" fillId="0" borderId="13" xfId="0" applyFont="1" applyBorder="1" applyAlignment="1" applyProtection="1">
      <alignment horizontal="left" wrapText="1"/>
      <protection locked="0"/>
    </xf>
    <xf numFmtId="0" fontId="12" fillId="0" borderId="8" xfId="0" applyFont="1" applyBorder="1" applyAlignment="1" applyProtection="1">
      <alignment horizontal="left" wrapText="1"/>
      <protection locked="0"/>
    </xf>
    <xf numFmtId="0" fontId="2" fillId="0" borderId="8" xfId="0" applyFont="1" applyBorder="1" applyAlignment="1" applyProtection="1">
      <alignment horizontal="left" vertical="center" wrapText="1"/>
      <protection locked="0"/>
    </xf>
    <xf numFmtId="0" fontId="10" fillId="0" borderId="8" xfId="0" applyFont="1" applyBorder="1" applyProtection="1">
      <protection locked="0"/>
    </xf>
    <xf numFmtId="0" fontId="70" fillId="0" borderId="42" xfId="0" applyFont="1" applyBorder="1" applyAlignment="1" applyProtection="1">
      <alignment horizontal="center" vertical="center" wrapText="1"/>
      <protection locked="0"/>
    </xf>
    <xf numFmtId="0" fontId="76" fillId="0" borderId="45" xfId="0" applyFont="1" applyBorder="1" applyAlignment="1" applyProtection="1">
      <alignment wrapText="1"/>
      <protection locked="0"/>
    </xf>
    <xf numFmtId="0" fontId="70" fillId="0" borderId="45" xfId="0" applyFont="1" applyBorder="1" applyAlignment="1" applyProtection="1">
      <alignment horizontal="center" vertical="center" wrapText="1"/>
      <protection locked="0"/>
    </xf>
    <xf numFmtId="0" fontId="2" fillId="0" borderId="45" xfId="0" applyFont="1" applyBorder="1" applyProtection="1">
      <protection locked="0"/>
    </xf>
    <xf numFmtId="0" fontId="2" fillId="12" borderId="0" xfId="0" applyFont="1" applyFill="1"/>
    <xf numFmtId="0" fontId="63" fillId="12" borderId="45" xfId="0" applyFont="1" applyFill="1" applyBorder="1"/>
    <xf numFmtId="0" fontId="12" fillId="12" borderId="45" xfId="0" applyFont="1" applyFill="1" applyBorder="1"/>
    <xf numFmtId="0" fontId="70" fillId="2" borderId="45" xfId="0" applyFont="1" applyFill="1" applyBorder="1" applyAlignment="1" applyProtection="1">
      <alignment horizontal="center"/>
      <protection locked="0"/>
    </xf>
    <xf numFmtId="0" fontId="70" fillId="0" borderId="45" xfId="0" applyFont="1" applyBorder="1" applyAlignment="1" applyProtection="1">
      <alignment horizontal="center"/>
      <protection locked="0"/>
    </xf>
    <xf numFmtId="0" fontId="70" fillId="0" borderId="42" xfId="0" applyFont="1" applyBorder="1" applyAlignment="1" applyProtection="1">
      <alignment horizontal="center"/>
      <protection locked="0"/>
    </xf>
    <xf numFmtId="0" fontId="70" fillId="0" borderId="0" xfId="0" applyFont="1" applyAlignment="1" applyProtection="1">
      <alignment horizontal="center"/>
      <protection locked="0"/>
    </xf>
    <xf numFmtId="0" fontId="70" fillId="0" borderId="0" xfId="0" applyFont="1" applyAlignment="1" applyProtection="1">
      <alignment horizontal="center" vertical="center"/>
      <protection locked="0"/>
    </xf>
    <xf numFmtId="0" fontId="67" fillId="12" borderId="13" xfId="0" applyFont="1" applyFill="1" applyBorder="1" applyAlignment="1">
      <alignment horizontal="left" wrapText="1"/>
    </xf>
    <xf numFmtId="0" fontId="3" fillId="12" borderId="13" xfId="0" applyFont="1" applyFill="1" applyBorder="1" applyAlignment="1">
      <alignment vertical="center" wrapText="1"/>
    </xf>
    <xf numFmtId="0" fontId="10" fillId="12" borderId="4" xfId="0" applyFont="1" applyFill="1" applyBorder="1" applyAlignment="1">
      <alignment vertical="center" wrapText="1"/>
    </xf>
    <xf numFmtId="0" fontId="12" fillId="0" borderId="8" xfId="0" applyFont="1" applyBorder="1" applyAlignment="1" applyProtection="1">
      <alignment horizontal="left" vertical="center" wrapText="1"/>
      <protection locked="0"/>
    </xf>
    <xf numFmtId="0" fontId="12" fillId="0" borderId="8" xfId="0" applyFont="1" applyBorder="1" applyAlignment="1" applyProtection="1">
      <alignment horizontal="left" vertical="center" wrapText="1" indent="2"/>
      <protection locked="0"/>
    </xf>
    <xf numFmtId="0" fontId="12" fillId="0" borderId="8" xfId="0" applyFont="1" applyBorder="1" applyAlignment="1" applyProtection="1">
      <alignment vertical="center" wrapText="1"/>
      <protection locked="0"/>
    </xf>
    <xf numFmtId="0" fontId="12" fillId="0" borderId="8" xfId="0" applyFont="1" applyBorder="1" applyAlignment="1" applyProtection="1">
      <alignment horizontal="left" vertical="top" wrapText="1" indent="2"/>
      <protection locked="0"/>
    </xf>
    <xf numFmtId="0" fontId="12" fillId="0" borderId="8" xfId="0" applyFont="1" applyBorder="1" applyAlignment="1" applyProtection="1">
      <alignment horizontal="left" vertical="top" wrapText="1"/>
      <protection locked="0"/>
    </xf>
    <xf numFmtId="0" fontId="2" fillId="2" borderId="41" xfId="0" applyFont="1" applyFill="1" applyBorder="1" applyAlignment="1">
      <alignment horizontal="center"/>
    </xf>
    <xf numFmtId="0" fontId="2" fillId="2" borderId="42" xfId="0" applyFont="1" applyFill="1" applyBorder="1" applyAlignment="1">
      <alignment horizontal="center"/>
    </xf>
    <xf numFmtId="0" fontId="2" fillId="0" borderId="42" xfId="0" applyFont="1" applyBorder="1" applyAlignment="1" applyProtection="1">
      <alignment horizontal="center"/>
      <protection locked="0"/>
    </xf>
    <xf numFmtId="0" fontId="2" fillId="0" borderId="42" xfId="0" applyFont="1" applyBorder="1" applyAlignment="1" applyProtection="1">
      <alignment horizontal="center" vertical="center"/>
      <protection locked="0"/>
    </xf>
    <xf numFmtId="0" fontId="70" fillId="0" borderId="42" xfId="0" applyFont="1" applyBorder="1" applyAlignment="1" applyProtection="1">
      <alignment horizontal="center" vertical="center"/>
      <protection locked="0"/>
    </xf>
    <xf numFmtId="0" fontId="2" fillId="0" borderId="42" xfId="0" applyFont="1" applyBorder="1" applyAlignment="1">
      <alignment horizontal="center"/>
    </xf>
    <xf numFmtId="0" fontId="3" fillId="0" borderId="5" xfId="0" applyFont="1" applyBorder="1" applyAlignment="1" applyProtection="1">
      <alignment horizontal="left" vertical="center" wrapText="1"/>
      <protection locked="0"/>
    </xf>
    <xf numFmtId="0" fontId="12" fillId="0" borderId="3" xfId="0" applyFont="1" applyBorder="1" applyAlignment="1" applyProtection="1">
      <alignment vertical="center" wrapText="1"/>
      <protection locked="0"/>
    </xf>
    <xf numFmtId="0" fontId="12" fillId="0" borderId="3" xfId="0" applyFont="1" applyBorder="1" applyAlignment="1" applyProtection="1">
      <alignment horizontal="left" vertical="center" wrapText="1"/>
      <protection locked="0"/>
    </xf>
    <xf numFmtId="0" fontId="12" fillId="0" borderId="5" xfId="0" applyFont="1" applyBorder="1" applyAlignment="1" applyProtection="1">
      <alignment horizontal="left" vertical="top" wrapText="1"/>
      <protection locked="0"/>
    </xf>
    <xf numFmtId="0" fontId="12" fillId="0" borderId="6"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indent="2"/>
      <protection locked="0"/>
    </xf>
    <xf numFmtId="0" fontId="76" fillId="0" borderId="0" xfId="0" applyFont="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2" fillId="2" borderId="8" xfId="0" applyFont="1" applyFill="1" applyBorder="1" applyAlignment="1">
      <alignment horizontal="center"/>
    </xf>
    <xf numFmtId="0" fontId="12" fillId="0" borderId="9" xfId="0" applyFont="1" applyBorder="1" applyAlignment="1">
      <alignment wrapText="1"/>
    </xf>
    <xf numFmtId="0" fontId="12" fillId="0" borderId="10" xfId="0" applyFont="1" applyBorder="1" applyAlignment="1" applyProtection="1">
      <alignment horizontal="left" vertical="center" wrapText="1"/>
      <protection locked="0"/>
    </xf>
    <xf numFmtId="0" fontId="76" fillId="0" borderId="0" xfId="0" applyFont="1" applyAlignment="1" applyProtection="1">
      <alignment horizontal="center" vertical="center" wrapText="1"/>
      <protection locked="0"/>
    </xf>
    <xf numFmtId="0" fontId="12" fillId="0" borderId="2" xfId="0" applyFont="1" applyBorder="1" applyAlignment="1">
      <alignment vertical="center" wrapText="1"/>
    </xf>
    <xf numFmtId="0" fontId="30" fillId="0" borderId="8" xfId="0" applyFont="1" applyBorder="1" applyAlignment="1" applyProtection="1">
      <alignment horizontal="center" vertical="center"/>
      <protection locked="0"/>
    </xf>
    <xf numFmtId="0" fontId="10" fillId="3" borderId="8" xfId="0" applyFont="1" applyFill="1" applyBorder="1" applyAlignment="1">
      <alignment wrapText="1"/>
    </xf>
    <xf numFmtId="0" fontId="12" fillId="0" borderId="22" xfId="0" applyFont="1" applyBorder="1" applyAlignment="1" applyProtection="1">
      <alignment horizontal="left" vertical="center" wrapText="1"/>
      <protection locked="0"/>
    </xf>
    <xf numFmtId="0" fontId="12" fillId="0" borderId="9" xfId="0" applyFont="1" applyBorder="1" applyAlignment="1">
      <alignment horizontal="left" vertical="top" wrapText="1"/>
    </xf>
    <xf numFmtId="0" fontId="3" fillId="0" borderId="0" xfId="0" applyFont="1" applyAlignment="1" applyProtection="1">
      <alignment horizontal="center"/>
      <protection locked="0"/>
    </xf>
    <xf numFmtId="0" fontId="0" fillId="0" borderId="0" xfId="0" applyAlignment="1">
      <alignment vertical="center" wrapText="1"/>
    </xf>
    <xf numFmtId="164" fontId="10" fillId="0" borderId="44" xfId="2" applyNumberFormat="1" applyFont="1" applyBorder="1" applyAlignment="1">
      <alignment horizontal="right" wrapText="1"/>
    </xf>
    <xf numFmtId="0" fontId="47" fillId="0" borderId="36" xfId="0" applyFont="1" applyBorder="1" applyAlignment="1">
      <alignment horizontal="left" vertical="top" wrapText="1"/>
    </xf>
    <xf numFmtId="0" fontId="45" fillId="0" borderId="42" xfId="0" applyFont="1" applyBorder="1" applyAlignment="1">
      <alignment vertical="top" wrapText="1"/>
    </xf>
    <xf numFmtId="0" fontId="61" fillId="5" borderId="43" xfId="0" applyFont="1" applyFill="1" applyBorder="1" applyAlignment="1">
      <alignment horizontal="left" vertical="top" wrapText="1"/>
    </xf>
    <xf numFmtId="0" fontId="12" fillId="0" borderId="44" xfId="0" applyFont="1" applyBorder="1" applyAlignment="1">
      <alignment horizontal="left" vertical="center" wrapText="1"/>
    </xf>
    <xf numFmtId="0" fontId="12" fillId="10" borderId="45" xfId="0" applyFont="1" applyFill="1" applyBorder="1" applyAlignment="1">
      <alignment horizontal="left" vertical="center" wrapText="1"/>
    </xf>
    <xf numFmtId="49" fontId="45" fillId="0" borderId="44" xfId="0" applyNumberFormat="1" applyFont="1" applyBorder="1" applyAlignment="1">
      <alignment wrapText="1"/>
    </xf>
    <xf numFmtId="49" fontId="47" fillId="0" borderId="44" xfId="0" applyNumberFormat="1" applyFont="1" applyBorder="1" applyAlignment="1">
      <alignment wrapText="1"/>
    </xf>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2" fillId="10" borderId="45" xfId="0" applyFont="1" applyFill="1" applyBorder="1"/>
    <xf numFmtId="43" fontId="10" fillId="0" borderId="5" xfId="2" applyFont="1" applyBorder="1" applyAlignment="1">
      <alignment horizontal="right" wrapText="1"/>
    </xf>
    <xf numFmtId="0" fontId="3" fillId="0" borderId="5" xfId="0" applyFont="1" applyBorder="1"/>
    <xf numFmtId="0" fontId="10" fillId="10" borderId="39"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39" xfId="0" applyFont="1" applyFill="1" applyBorder="1" applyAlignment="1">
      <alignment vertical="center" wrapText="1"/>
    </xf>
    <xf numFmtId="0" fontId="10" fillId="5" borderId="36" xfId="0" applyFont="1" applyFill="1" applyBorder="1" applyAlignment="1">
      <alignment vertical="center" wrapText="1"/>
    </xf>
    <xf numFmtId="0" fontId="10" fillId="0" borderId="36" xfId="0" applyFont="1" applyBorder="1" applyAlignment="1">
      <alignment horizontal="right" wrapText="1"/>
    </xf>
    <xf numFmtId="0" fontId="2" fillId="3" borderId="4" xfId="0" applyFont="1" applyFill="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2" fillId="11" borderId="1" xfId="0" applyFont="1" applyFill="1" applyBorder="1" applyAlignment="1">
      <alignment horizontal="left" vertical="top" wrapText="1"/>
    </xf>
    <xf numFmtId="0" fontId="2" fillId="11" borderId="1" xfId="0" applyFont="1" applyFill="1" applyBorder="1" applyAlignment="1" applyProtection="1">
      <alignment horizontal="left" vertical="top" wrapText="1"/>
      <protection locked="0"/>
    </xf>
    <xf numFmtId="0" fontId="12" fillId="0" borderId="20" xfId="0" applyFont="1" applyBorder="1" applyAlignment="1" applyProtection="1">
      <alignment vertical="center" wrapText="1"/>
      <protection locked="0"/>
    </xf>
    <xf numFmtId="0" fontId="3" fillId="0" borderId="0" xfId="0" applyFont="1" applyAlignment="1">
      <alignment horizontal="left" vertical="center" indent="1"/>
    </xf>
    <xf numFmtId="0" fontId="17" fillId="0" borderId="0" xfId="0" applyFont="1" applyAlignment="1">
      <alignment horizontal="left" wrapText="1"/>
    </xf>
    <xf numFmtId="0" fontId="94" fillId="0" borderId="0" xfId="0" applyFont="1" applyAlignment="1">
      <alignment horizontal="left" vertical="center" indent="1"/>
    </xf>
    <xf numFmtId="0" fontId="94" fillId="0" borderId="0" xfId="0" applyFont="1" applyAlignment="1">
      <alignment horizontal="left" vertical="center" wrapText="1" indent="1"/>
    </xf>
    <xf numFmtId="0" fontId="94" fillId="0" borderId="0" xfId="0" applyFont="1" applyAlignment="1">
      <alignment horizontal="left" vertical="center" wrapText="1"/>
    </xf>
    <xf numFmtId="0" fontId="32" fillId="3" borderId="0" xfId="0" applyFont="1" applyFill="1" applyAlignment="1">
      <alignment horizontal="left" wrapText="1"/>
    </xf>
    <xf numFmtId="0" fontId="3" fillId="0" borderId="10" xfId="0" applyFont="1" applyBorder="1" applyAlignment="1">
      <alignment horizontal="left" vertical="center" wrapText="1"/>
    </xf>
    <xf numFmtId="0" fontId="2"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9" xfId="0" applyFont="1" applyBorder="1" applyAlignment="1">
      <alignment horizontal="left" vertical="center" wrapText="1"/>
    </xf>
    <xf numFmtId="0" fontId="45" fillId="0" borderId="10" xfId="0" applyFont="1" applyBorder="1" applyAlignment="1">
      <alignment horizontal="left" vertical="center" wrapText="1"/>
    </xf>
    <xf numFmtId="0" fontId="81" fillId="0" borderId="0" xfId="0" applyFont="1" applyAlignment="1">
      <alignment horizontal="left" wrapText="1"/>
    </xf>
    <xf numFmtId="0" fontId="32" fillId="0" borderId="0" xfId="0" applyFont="1" applyAlignment="1">
      <alignment horizontal="left" vertical="center" wrapText="1"/>
    </xf>
    <xf numFmtId="0" fontId="48" fillId="0" borderId="10" xfId="0" applyFont="1" applyBorder="1" applyAlignment="1">
      <alignment horizontal="left" vertical="center" wrapText="1"/>
    </xf>
    <xf numFmtId="0" fontId="41" fillId="0" borderId="10" xfId="0" applyFont="1" applyBorder="1" applyAlignment="1">
      <alignment horizontal="left" vertical="center" wrapText="1"/>
    </xf>
    <xf numFmtId="0" fontId="94" fillId="0" borderId="0" xfId="0" applyFont="1" applyAlignment="1">
      <alignment horizontal="left" wrapText="1"/>
    </xf>
    <xf numFmtId="0" fontId="32" fillId="3" borderId="5" xfId="0" applyFont="1" applyFill="1" applyBorder="1" applyAlignment="1">
      <alignment horizontal="left" vertical="center" wrapText="1"/>
    </xf>
    <xf numFmtId="0" fontId="36" fillId="0" borderId="6" xfId="0" applyFont="1" applyBorder="1" applyAlignment="1">
      <alignment horizontal="left" vertical="center" wrapText="1"/>
    </xf>
    <xf numFmtId="0" fontId="36" fillId="3" borderId="51" xfId="0" applyFont="1" applyFill="1" applyBorder="1" applyAlignment="1">
      <alignment horizontal="left" vertical="center" wrapText="1"/>
    </xf>
    <xf numFmtId="0" fontId="12" fillId="0" borderId="9" xfId="0" applyFont="1" applyBorder="1" applyAlignment="1">
      <alignment horizontal="left" vertical="center" wrapText="1"/>
    </xf>
    <xf numFmtId="0" fontId="12" fillId="0" borderId="7" xfId="0" applyFont="1" applyBorder="1" applyAlignment="1">
      <alignment horizontal="left" wrapText="1"/>
    </xf>
    <xf numFmtId="0" fontId="10" fillId="0" borderId="1" xfId="0" applyFont="1" applyBorder="1" applyAlignment="1">
      <alignment horizontal="left"/>
    </xf>
    <xf numFmtId="0" fontId="63" fillId="3" borderId="46" xfId="0" applyFont="1" applyFill="1" applyBorder="1" applyAlignment="1" applyProtection="1">
      <alignment horizontal="left" vertical="center" wrapText="1"/>
      <protection locked="0"/>
    </xf>
    <xf numFmtId="0" fontId="34" fillId="0" borderId="46" xfId="0" applyFont="1" applyBorder="1" applyAlignment="1" applyProtection="1">
      <alignment horizontal="left" vertical="center" wrapText="1"/>
      <protection locked="0"/>
    </xf>
    <xf numFmtId="0" fontId="2" fillId="0" borderId="0" xfId="0" applyFont="1" applyAlignment="1">
      <alignment horizontal="left"/>
    </xf>
    <xf numFmtId="0" fontId="0" fillId="0" borderId="0" xfId="0" applyAlignment="1">
      <alignment horizontal="left"/>
    </xf>
    <xf numFmtId="0" fontId="85" fillId="0" borderId="0" xfId="0" applyFont="1" applyAlignment="1">
      <alignment vertical="center"/>
    </xf>
    <xf numFmtId="0" fontId="85" fillId="0" borderId="0" xfId="0" applyFont="1" applyAlignment="1">
      <alignment vertical="center" wrapText="1"/>
    </xf>
    <xf numFmtId="0" fontId="85" fillId="0" borderId="0" xfId="0" applyFont="1" applyAlignment="1">
      <alignment horizontal="left" vertical="center" wrapText="1"/>
    </xf>
    <xf numFmtId="0" fontId="81" fillId="0" borderId="0" xfId="0" applyFont="1"/>
    <xf numFmtId="0" fontId="81" fillId="0" borderId="0" xfId="0" applyFont="1" applyAlignment="1">
      <alignment vertical="center"/>
    </xf>
    <xf numFmtId="0" fontId="81" fillId="0" borderId="0" xfId="0" applyFont="1" applyAlignment="1">
      <alignment vertical="center" wrapText="1"/>
    </xf>
    <xf numFmtId="0" fontId="81" fillId="0" borderId="0" xfId="0" applyFont="1" applyAlignment="1">
      <alignment horizontal="left" vertical="center" wrapText="1"/>
    </xf>
    <xf numFmtId="0" fontId="97" fillId="0" borderId="0" xfId="0" applyFont="1" applyAlignment="1">
      <alignment horizontal="left" vertical="center" wrapText="1"/>
    </xf>
    <xf numFmtId="0" fontId="85" fillId="6" borderId="45" xfId="0" applyFont="1" applyFill="1" applyBorder="1" applyAlignment="1">
      <alignment vertical="center"/>
    </xf>
    <xf numFmtId="0" fontId="81" fillId="0" borderId="41" xfId="0" applyFont="1" applyBorder="1" applyAlignment="1">
      <alignment vertical="center" wrapText="1"/>
    </xf>
    <xf numFmtId="0" fontId="96" fillId="0" borderId="42" xfId="0" applyFont="1" applyBorder="1" applyAlignment="1">
      <alignment horizontal="left" vertical="center" wrapText="1" indent="5"/>
    </xf>
    <xf numFmtId="0" fontId="96" fillId="0" borderId="42" xfId="0" applyFont="1" applyBorder="1" applyAlignment="1">
      <alignment horizontal="left" vertical="center" indent="5"/>
    </xf>
    <xf numFmtId="0" fontId="96" fillId="0" borderId="42" xfId="0" applyFont="1" applyBorder="1" applyAlignment="1">
      <alignment horizontal="left" vertical="center" indent="10"/>
    </xf>
    <xf numFmtId="0" fontId="96" fillId="0" borderId="42" xfId="0" applyFont="1" applyBorder="1" applyAlignment="1">
      <alignment horizontal="left" vertical="center" indent="4"/>
    </xf>
    <xf numFmtId="0" fontId="96" fillId="0" borderId="46" xfId="0" applyFont="1" applyBorder="1" applyAlignment="1">
      <alignment horizontal="left" vertical="center" wrapText="1" indent="4"/>
    </xf>
    <xf numFmtId="0" fontId="81" fillId="0" borderId="45" xfId="0" applyFont="1" applyBorder="1" applyAlignment="1">
      <alignment vertical="center" wrapText="1"/>
    </xf>
    <xf numFmtId="0" fontId="63" fillId="0" borderId="46" xfId="0" applyFont="1" applyBorder="1" applyAlignment="1" applyProtection="1">
      <alignment horizontal="left" vertical="center" wrapText="1"/>
      <protection locked="0"/>
    </xf>
    <xf numFmtId="0" fontId="95" fillId="0" borderId="0" xfId="0" applyFont="1" applyAlignment="1">
      <alignment vertical="center" wrapText="1"/>
    </xf>
    <xf numFmtId="0" fontId="101" fillId="0" borderId="0" xfId="0" applyFont="1" applyAlignment="1">
      <alignment horizontal="left" vertical="center" wrapText="1" indent="5"/>
    </xf>
    <xf numFmtId="0" fontId="36" fillId="0" borderId="10" xfId="0" applyFont="1" applyBorder="1"/>
    <xf numFmtId="0" fontId="1" fillId="15" borderId="45" xfId="0" applyFont="1" applyFill="1" applyBorder="1" applyAlignment="1">
      <alignment vertical="center"/>
    </xf>
    <xf numFmtId="0" fontId="0" fillId="0" borderId="45" xfId="0" applyBorder="1" applyAlignment="1">
      <alignment vertical="center" wrapText="1"/>
    </xf>
    <xf numFmtId="0" fontId="76" fillId="0" borderId="45" xfId="0" applyFont="1" applyBorder="1" applyAlignment="1">
      <alignment vertical="center"/>
    </xf>
    <xf numFmtId="0" fontId="103" fillId="0" borderId="0" xfId="0" applyFont="1" applyAlignment="1">
      <alignment horizontal="left" vertical="center" indent="2"/>
    </xf>
    <xf numFmtId="0" fontId="94" fillId="0" borderId="0" xfId="0" applyFont="1" applyAlignment="1">
      <alignment vertical="center" wrapText="1"/>
    </xf>
    <xf numFmtId="0" fontId="70" fillId="0" borderId="0" xfId="0" applyFont="1" applyProtection="1">
      <protection locked="0"/>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86" fillId="0" borderId="41" xfId="0" applyFont="1" applyBorder="1" applyAlignment="1">
      <alignment vertical="center" wrapText="1"/>
    </xf>
    <xf numFmtId="0" fontId="86" fillId="0" borderId="42" xfId="0" applyFont="1" applyBorder="1" applyAlignment="1">
      <alignment vertical="center" wrapText="1"/>
    </xf>
    <xf numFmtId="0" fontId="86" fillId="0" borderId="46" xfId="0" applyFont="1" applyBorder="1" applyAlignment="1">
      <alignment vertical="center" wrapText="1"/>
    </xf>
    <xf numFmtId="0" fontId="91" fillId="18" borderId="58" xfId="4" applyFont="1" applyAlignment="1">
      <alignment horizontal="left" wrapText="1"/>
    </xf>
    <xf numFmtId="0" fontId="3" fillId="7" borderId="18"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24" xfId="0" applyFont="1" applyFill="1" applyBorder="1" applyAlignment="1">
      <alignment horizontal="center" vertical="center"/>
    </xf>
    <xf numFmtId="0" fontId="10" fillId="0" borderId="53" xfId="0" applyFont="1" applyBorder="1" applyAlignment="1">
      <alignment horizontal="right" vertical="top"/>
    </xf>
    <xf numFmtId="0" fontId="10" fillId="0" borderId="54" xfId="0" applyFont="1" applyBorder="1" applyAlignment="1">
      <alignment horizontal="right" vertical="top"/>
    </xf>
    <xf numFmtId="0" fontId="10" fillId="0" borderId="38" xfId="0" applyFont="1" applyBorder="1" applyAlignment="1">
      <alignment horizontal="right" vertical="top"/>
    </xf>
    <xf numFmtId="0" fontId="10" fillId="0" borderId="7" xfId="0" applyFont="1" applyBorder="1" applyAlignment="1">
      <alignment horizontal="right" vertical="top"/>
    </xf>
    <xf numFmtId="0" fontId="10" fillId="0" borderId="3" xfId="0" applyFont="1" applyBorder="1" applyAlignment="1">
      <alignment horizontal="right" vertical="top"/>
    </xf>
    <xf numFmtId="0" fontId="72" fillId="9" borderId="38" xfId="0" applyFont="1" applyFill="1" applyBorder="1" applyAlignment="1">
      <alignment horizontal="left" wrapText="1"/>
    </xf>
    <xf numFmtId="0" fontId="72" fillId="9" borderId="3" xfId="0" applyFont="1" applyFill="1" applyBorder="1" applyAlignment="1">
      <alignment horizontal="left" wrapText="1"/>
    </xf>
    <xf numFmtId="0" fontId="72" fillId="9" borderId="13" xfId="0" applyFont="1" applyFill="1" applyBorder="1" applyAlignment="1">
      <alignment horizontal="center" vertical="top" wrapText="1"/>
    </xf>
    <xf numFmtId="0" fontId="72" fillId="9" borderId="8" xfId="0" applyFont="1" applyFill="1" applyBorder="1" applyAlignment="1">
      <alignment horizontal="center" vertical="top" wrapText="1"/>
    </xf>
    <xf numFmtId="0" fontId="62" fillId="9" borderId="35" xfId="0" applyFont="1" applyFill="1" applyBorder="1" applyAlignment="1">
      <alignment horizontal="left" vertical="center" wrapText="1"/>
    </xf>
    <xf numFmtId="0" fontId="62" fillId="9" borderId="8" xfId="0" applyFont="1" applyFill="1" applyBorder="1" applyAlignment="1">
      <alignment horizontal="left" vertical="center" wrapText="1"/>
    </xf>
    <xf numFmtId="0" fontId="55" fillId="9" borderId="35" xfId="0" applyFont="1" applyFill="1" applyBorder="1" applyAlignment="1">
      <alignment horizontal="left" vertical="center" wrapText="1"/>
    </xf>
    <xf numFmtId="0" fontId="55" fillId="9" borderId="13" xfId="0" applyFont="1" applyFill="1" applyBorder="1" applyAlignment="1">
      <alignment horizontal="left" vertical="center" wrapText="1"/>
    </xf>
    <xf numFmtId="0" fontId="55" fillId="9" borderId="8" xfId="0" applyFont="1" applyFill="1" applyBorder="1" applyAlignment="1">
      <alignment horizontal="left" vertical="center" wrapText="1"/>
    </xf>
    <xf numFmtId="0" fontId="55" fillId="9" borderId="35" xfId="0" applyFont="1" applyFill="1" applyBorder="1" applyAlignment="1">
      <alignment horizontal="center" vertical="center" wrapText="1"/>
    </xf>
    <xf numFmtId="0" fontId="55" fillId="9" borderId="13" xfId="0" applyFont="1" applyFill="1" applyBorder="1" applyAlignment="1">
      <alignment horizontal="center" vertical="center" wrapText="1"/>
    </xf>
    <xf numFmtId="0" fontId="10" fillId="3" borderId="13" xfId="0" applyFont="1" applyFill="1" applyBorder="1" applyAlignment="1">
      <alignment horizontal="center" vertical="top" wrapText="1"/>
    </xf>
    <xf numFmtId="0" fontId="10" fillId="3" borderId="8" xfId="0" applyFont="1" applyFill="1" applyBorder="1" applyAlignment="1">
      <alignment horizontal="center" vertical="top" wrapText="1"/>
    </xf>
    <xf numFmtId="0" fontId="55" fillId="3" borderId="12" xfId="0" applyFont="1" applyFill="1" applyBorder="1" applyAlignment="1">
      <alignment horizontal="center" vertical="center"/>
    </xf>
    <xf numFmtId="0" fontId="55" fillId="3" borderId="13" xfId="0" applyFont="1" applyFill="1" applyBorder="1" applyAlignment="1">
      <alignment horizontal="center" vertical="center"/>
    </xf>
    <xf numFmtId="0" fontId="55" fillId="3" borderId="8" xfId="0" applyFont="1" applyFill="1" applyBorder="1" applyAlignment="1">
      <alignment horizontal="center" vertical="center"/>
    </xf>
    <xf numFmtId="0" fontId="10" fillId="3" borderId="35"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0" xfId="0" applyFont="1" applyFill="1" applyAlignment="1">
      <alignment horizontal="center" vertical="center" wrapText="1"/>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8" xfId="0" applyFont="1" applyFill="1" applyBorder="1" applyAlignment="1">
      <alignment horizontal="center" vertical="center"/>
    </xf>
    <xf numFmtId="0" fontId="10" fillId="0" borderId="50" xfId="0" applyFont="1" applyBorder="1" applyAlignment="1">
      <alignment horizontal="right" vertical="top"/>
    </xf>
    <xf numFmtId="0" fontId="10" fillId="0" borderId="34" xfId="0" applyFont="1" applyBorder="1" applyAlignment="1">
      <alignment horizontal="right" vertical="top"/>
    </xf>
    <xf numFmtId="0" fontId="10" fillId="0" borderId="51" xfId="0" applyFont="1" applyBorder="1" applyAlignment="1">
      <alignment horizontal="right" vertical="top"/>
    </xf>
    <xf numFmtId="0" fontId="10" fillId="0" borderId="21" xfId="0" applyFont="1" applyBorder="1" applyAlignment="1">
      <alignment horizontal="right" vertical="top"/>
    </xf>
    <xf numFmtId="0" fontId="10" fillId="0" borderId="1" xfId="0" applyFont="1" applyBorder="1" applyAlignment="1">
      <alignment horizontal="right" vertical="top"/>
    </xf>
    <xf numFmtId="0" fontId="25" fillId="13" borderId="28" xfId="0" applyFont="1" applyFill="1" applyBorder="1" applyAlignment="1">
      <alignment horizontal="center" vertical="top"/>
    </xf>
    <xf numFmtId="0" fontId="25" fillId="13" borderId="26" xfId="0" applyFont="1" applyFill="1" applyBorder="1" applyAlignment="1">
      <alignment horizontal="center" vertical="top"/>
    </xf>
    <xf numFmtId="0" fontId="25" fillId="13" borderId="29" xfId="0" applyFont="1" applyFill="1" applyBorder="1" applyAlignment="1">
      <alignment horizontal="center" vertical="top"/>
    </xf>
    <xf numFmtId="0" fontId="7" fillId="13" borderId="32" xfId="0" applyFont="1" applyFill="1" applyBorder="1" applyAlignment="1">
      <alignment horizontal="center" vertical="top"/>
    </xf>
    <xf numFmtId="0" fontId="7" fillId="13" borderId="0" xfId="0" applyFont="1" applyFill="1" applyAlignment="1">
      <alignment horizontal="center" vertical="top"/>
    </xf>
    <xf numFmtId="0" fontId="7" fillId="13" borderId="33" xfId="0" applyFont="1" applyFill="1" applyBorder="1" applyAlignment="1">
      <alignment horizontal="center" vertical="top"/>
    </xf>
    <xf numFmtId="0" fontId="27" fillId="3" borderId="14" xfId="0" applyFont="1" applyFill="1" applyBorder="1" applyAlignment="1">
      <alignment horizontal="left" vertical="top" wrapText="1"/>
    </xf>
    <xf numFmtId="0" fontId="27" fillId="3" borderId="7" xfId="0" applyFont="1" applyFill="1" applyBorder="1" applyAlignment="1">
      <alignment horizontal="left" vertical="top" wrapText="1"/>
    </xf>
    <xf numFmtId="0" fontId="27" fillId="3" borderId="3" xfId="0" applyFont="1" applyFill="1" applyBorder="1" applyAlignment="1">
      <alignment horizontal="left" vertical="top" wrapText="1"/>
    </xf>
    <xf numFmtId="0" fontId="3" fillId="3" borderId="2" xfId="0" applyFont="1" applyFill="1" applyBorder="1" applyAlignment="1">
      <alignment horizontal="center" vertical="center" wrapText="1"/>
    </xf>
    <xf numFmtId="0" fontId="3" fillId="0" borderId="9" xfId="0"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25" fillId="3" borderId="14" xfId="0" applyFont="1" applyFill="1" applyBorder="1" applyAlignment="1">
      <alignment horizontal="left" vertical="top" wrapText="1"/>
    </xf>
    <xf numFmtId="0" fontId="25" fillId="3" borderId="7" xfId="0" applyFont="1" applyFill="1" applyBorder="1" applyAlignment="1">
      <alignment horizontal="left" vertical="top" wrapText="1"/>
    </xf>
    <xf numFmtId="0" fontId="10" fillId="10" borderId="41" xfId="0" applyFont="1" applyFill="1" applyBorder="1" applyAlignment="1">
      <alignment horizontal="right" vertical="top" wrapText="1"/>
    </xf>
    <xf numFmtId="0" fontId="10" fillId="10" borderId="43" xfId="0" applyFont="1" applyFill="1" applyBorder="1" applyAlignment="1">
      <alignment horizontal="right" vertical="top" wrapText="1"/>
    </xf>
    <xf numFmtId="0" fontId="47" fillId="10" borderId="41" xfId="0" applyFont="1" applyFill="1" applyBorder="1" applyAlignment="1">
      <alignment horizontal="right" vertical="top" wrapText="1"/>
    </xf>
    <xf numFmtId="0" fontId="47" fillId="10" borderId="43" xfId="0" applyFont="1" applyFill="1" applyBorder="1" applyAlignment="1">
      <alignment horizontal="right" vertical="top" wrapText="1"/>
    </xf>
    <xf numFmtId="49" fontId="10" fillId="10" borderId="41" xfId="0" applyNumberFormat="1" applyFont="1" applyFill="1" applyBorder="1" applyAlignment="1">
      <alignment wrapText="1"/>
    </xf>
    <xf numFmtId="49" fontId="10" fillId="10" borderId="46" xfId="0" applyNumberFormat="1" applyFont="1" applyFill="1" applyBorder="1" applyAlignment="1">
      <alignment wrapText="1"/>
    </xf>
    <xf numFmtId="0" fontId="25" fillId="10" borderId="41" xfId="0" applyFont="1" applyFill="1" applyBorder="1" applyAlignment="1">
      <alignment horizontal="center" vertical="center" wrapText="1"/>
    </xf>
    <xf numFmtId="0" fontId="25" fillId="10" borderId="43" xfId="0" applyFont="1" applyFill="1" applyBorder="1" applyAlignment="1">
      <alignment horizontal="center" vertical="center" wrapText="1"/>
    </xf>
    <xf numFmtId="49" fontId="10" fillId="10" borderId="44" xfId="0" applyNumberFormat="1" applyFont="1" applyFill="1" applyBorder="1" applyAlignment="1">
      <alignment horizontal="right" wrapText="1"/>
    </xf>
    <xf numFmtId="49" fontId="10" fillId="10" borderId="43" xfId="0" applyNumberFormat="1" applyFont="1" applyFill="1" applyBorder="1" applyAlignment="1">
      <alignment horizontal="right" wrapText="1"/>
    </xf>
    <xf numFmtId="49" fontId="47" fillId="10" borderId="44" xfId="0" applyNumberFormat="1" applyFont="1" applyFill="1" applyBorder="1" applyAlignment="1">
      <alignment horizontal="right" wrapText="1"/>
    </xf>
    <xf numFmtId="49" fontId="47" fillId="10" borderId="43" xfId="0" applyNumberFormat="1" applyFont="1" applyFill="1" applyBorder="1" applyAlignment="1">
      <alignment horizontal="right" wrapText="1"/>
    </xf>
    <xf numFmtId="0" fontId="0" fillId="0" borderId="28" xfId="0" applyBorder="1" applyAlignment="1">
      <alignment horizontal="left" wrapText="1"/>
    </xf>
    <xf numFmtId="0" fontId="0" fillId="0" borderId="26" xfId="0" applyBorder="1" applyAlignment="1">
      <alignment horizontal="left" wrapText="1"/>
    </xf>
    <xf numFmtId="0" fontId="0" fillId="0" borderId="29" xfId="0" applyBorder="1" applyAlignment="1">
      <alignment horizontal="left" wrapText="1"/>
    </xf>
    <xf numFmtId="0" fontId="0" fillId="0" borderId="32" xfId="0" applyBorder="1" applyAlignment="1">
      <alignment horizontal="left" wrapText="1"/>
    </xf>
    <xf numFmtId="0" fontId="0" fillId="0" borderId="0" xfId="0" applyAlignment="1">
      <alignment horizontal="left" wrapText="1"/>
    </xf>
    <xf numFmtId="0" fontId="0" fillId="0" borderId="33" xfId="0" applyBorder="1" applyAlignment="1">
      <alignment horizontal="left" wrapText="1"/>
    </xf>
    <xf numFmtId="0" fontId="0" fillId="0" borderId="25" xfId="0" applyBorder="1" applyAlignment="1">
      <alignment horizontal="left" wrapText="1"/>
    </xf>
    <xf numFmtId="0" fontId="0" fillId="0" borderId="30" xfId="0" applyBorder="1" applyAlignment="1">
      <alignment horizontal="left" wrapText="1"/>
    </xf>
    <xf numFmtId="0" fontId="0" fillId="0" borderId="31" xfId="0" applyBorder="1" applyAlignment="1">
      <alignment horizontal="left" wrapText="1"/>
    </xf>
    <xf numFmtId="0" fontId="0" fillId="0" borderId="1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22" xfId="0" applyBorder="1" applyAlignment="1">
      <alignment horizontal="left" wrapText="1"/>
    </xf>
    <xf numFmtId="0" fontId="0" fillId="0" borderId="6" xfId="0" applyBorder="1" applyAlignment="1">
      <alignment horizontal="left" wrapText="1"/>
    </xf>
    <xf numFmtId="0" fontId="0" fillId="0" borderId="14" xfId="0" applyBorder="1" applyAlignment="1">
      <alignment horizontal="left" wrapText="1"/>
    </xf>
    <xf numFmtId="0" fontId="0" fillId="0" borderId="7" xfId="0" applyBorder="1" applyAlignment="1">
      <alignment horizontal="left" wrapText="1"/>
    </xf>
    <xf numFmtId="0" fontId="0" fillId="0" borderId="3" xfId="0" applyBorder="1" applyAlignment="1">
      <alignment horizontal="left" wrapText="1"/>
    </xf>
    <xf numFmtId="0" fontId="62" fillId="9" borderId="28" xfId="0" applyFont="1" applyFill="1" applyBorder="1" applyAlignment="1">
      <alignment horizontal="left" vertical="center"/>
    </xf>
    <xf numFmtId="0" fontId="62" fillId="9" borderId="26" xfId="0" applyFont="1" applyFill="1" applyBorder="1" applyAlignment="1">
      <alignment horizontal="left" vertical="center"/>
    </xf>
    <xf numFmtId="0" fontId="62" fillId="9" borderId="29" xfId="0" applyFont="1" applyFill="1" applyBorder="1" applyAlignment="1">
      <alignment horizontal="left" vertical="center"/>
    </xf>
    <xf numFmtId="0" fontId="2" fillId="0" borderId="17"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2" xfId="0" applyFont="1" applyBorder="1" applyAlignment="1">
      <alignment horizontal="left" wrapText="1"/>
    </xf>
    <xf numFmtId="0" fontId="2" fillId="0" borderId="0" xfId="0" applyFont="1" applyAlignment="1">
      <alignment horizontal="left" wrapText="1"/>
    </xf>
    <xf numFmtId="0" fontId="2" fillId="0" borderId="6" xfId="0" applyFont="1" applyBorder="1" applyAlignment="1">
      <alignment horizontal="left" wrapText="1"/>
    </xf>
    <xf numFmtId="0" fontId="1" fillId="0" borderId="22" xfId="0" applyFont="1" applyBorder="1" applyAlignment="1">
      <alignment horizontal="left" wrapText="1"/>
    </xf>
    <xf numFmtId="0" fontId="10" fillId="0" borderId="44" xfId="0" applyFont="1" applyBorder="1" applyAlignment="1">
      <alignment horizontal="right" vertical="center" wrapText="1"/>
    </xf>
    <xf numFmtId="0" fontId="10" fillId="0" borderId="43" xfId="0" applyFont="1" applyBorder="1" applyAlignment="1">
      <alignment horizontal="right" vertical="center" wrapText="1"/>
    </xf>
    <xf numFmtId="0" fontId="10" fillId="0" borderId="44"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vertical="center" wrapText="1"/>
    </xf>
    <xf numFmtId="0" fontId="10" fillId="0" borderId="43" xfId="0" applyFont="1" applyBorder="1" applyAlignment="1">
      <alignment vertical="center" wrapText="1"/>
    </xf>
    <xf numFmtId="0" fontId="71" fillId="0" borderId="41" xfId="0" applyFont="1" applyBorder="1"/>
    <xf numFmtId="0" fontId="2" fillId="0" borderId="46" xfId="0" applyFont="1" applyBorder="1"/>
    <xf numFmtId="0" fontId="10" fillId="2" borderId="5" xfId="0" applyFont="1" applyFill="1" applyBorder="1" applyAlignment="1">
      <alignment horizontal="center" vertical="center" wrapText="1"/>
    </xf>
    <xf numFmtId="0" fontId="82" fillId="2" borderId="3" xfId="0" applyFont="1" applyFill="1" applyBorder="1" applyAlignment="1">
      <alignment horizontal="center" vertical="center" wrapText="1"/>
    </xf>
    <xf numFmtId="0" fontId="47" fillId="2" borderId="57" xfId="0" applyFont="1" applyFill="1" applyBorder="1" applyAlignment="1">
      <alignment horizontal="right" vertical="center" wrapText="1"/>
    </xf>
    <xf numFmtId="0" fontId="47" fillId="2" borderId="56" xfId="0" applyFont="1" applyFill="1" applyBorder="1" applyAlignment="1">
      <alignment horizontal="right" vertical="center" wrapText="1"/>
    </xf>
    <xf numFmtId="0" fontId="82" fillId="2" borderId="41" xfId="0" applyFont="1" applyFill="1" applyBorder="1" applyAlignment="1">
      <alignment horizontal="center" vertical="center" wrapText="1"/>
    </xf>
    <xf numFmtId="0" fontId="82" fillId="2" borderId="46" xfId="0" applyFont="1" applyFill="1" applyBorder="1" applyAlignment="1">
      <alignment horizontal="center" vertical="center" wrapText="1"/>
    </xf>
    <xf numFmtId="0" fontId="10" fillId="10" borderId="41" xfId="0" applyFont="1" applyFill="1" applyBorder="1" applyAlignment="1">
      <alignment horizontal="left" vertical="top" wrapText="1"/>
    </xf>
    <xf numFmtId="0" fontId="10" fillId="10" borderId="46" xfId="0" applyFont="1" applyFill="1" applyBorder="1" applyAlignment="1">
      <alignment horizontal="left" vertical="top" wrapText="1"/>
    </xf>
    <xf numFmtId="0" fontId="47" fillId="10" borderId="29" xfId="0" applyFont="1" applyFill="1" applyBorder="1" applyAlignment="1">
      <alignment vertical="top" wrapText="1"/>
    </xf>
    <xf numFmtId="0" fontId="47" fillId="10" borderId="56" xfId="0" applyFont="1" applyFill="1" applyBorder="1" applyAlignment="1">
      <alignment vertical="top" wrapText="1"/>
    </xf>
    <xf numFmtId="0" fontId="32" fillId="2" borderId="4" xfId="0" applyFont="1" applyFill="1" applyBorder="1" applyAlignment="1" applyProtection="1">
      <alignment horizontal="left" vertical="center"/>
      <protection locked="0"/>
    </xf>
    <xf numFmtId="0" fontId="32" fillId="2" borderId="5" xfId="0" applyFont="1" applyFill="1" applyBorder="1" applyAlignment="1" applyProtection="1">
      <alignment horizontal="left" vertical="center"/>
      <protection locked="0"/>
    </xf>
    <xf numFmtId="0" fontId="32" fillId="2" borderId="0" xfId="0" applyFont="1" applyFill="1" applyAlignment="1" applyProtection="1">
      <alignment horizontal="left" vertical="center"/>
      <protection locked="0"/>
    </xf>
    <xf numFmtId="0" fontId="32" fillId="2" borderId="6" xfId="0" applyFont="1" applyFill="1" applyBorder="1" applyAlignment="1" applyProtection="1">
      <alignment horizontal="left" vertical="center"/>
      <protection locked="0"/>
    </xf>
    <xf numFmtId="0" fontId="25" fillId="12" borderId="22" xfId="0" applyFont="1" applyFill="1" applyBorder="1" applyAlignment="1">
      <alignment horizontal="center" wrapText="1"/>
    </xf>
    <xf numFmtId="0" fontId="25" fillId="12" borderId="14" xfId="0" applyFont="1" applyFill="1" applyBorder="1" applyAlignment="1">
      <alignment horizontal="center" wrapText="1"/>
    </xf>
    <xf numFmtId="0" fontId="10" fillId="12" borderId="42" xfId="0" applyFont="1" applyFill="1" applyBorder="1" applyAlignment="1">
      <alignment horizontal="center" wrapText="1"/>
    </xf>
    <xf numFmtId="0" fontId="10" fillId="12" borderId="43" xfId="0" applyFont="1" applyFill="1" applyBorder="1" applyAlignment="1">
      <alignment horizontal="center" wrapText="1"/>
    </xf>
    <xf numFmtId="0" fontId="25" fillId="12" borderId="48" xfId="0" applyFont="1" applyFill="1" applyBorder="1" applyAlignment="1">
      <alignment horizontal="center" wrapText="1"/>
    </xf>
    <xf numFmtId="0" fontId="25" fillId="12" borderId="47" xfId="0" applyFont="1" applyFill="1" applyBorder="1" applyAlignment="1">
      <alignment horizontal="center" wrapText="1"/>
    </xf>
    <xf numFmtId="0" fontId="25" fillId="12" borderId="11" xfId="0" applyFont="1" applyFill="1" applyBorder="1" applyAlignment="1">
      <alignment horizontal="center" wrapText="1"/>
    </xf>
    <xf numFmtId="0" fontId="25" fillId="12" borderId="49" xfId="0" applyFont="1" applyFill="1" applyBorder="1" applyAlignment="1">
      <alignment horizontal="center" wrapText="1"/>
    </xf>
    <xf numFmtId="0" fontId="25" fillId="12" borderId="10" xfId="0" applyFont="1" applyFill="1" applyBorder="1" applyAlignment="1">
      <alignment horizontal="center" wrapText="1"/>
    </xf>
    <xf numFmtId="0" fontId="25" fillId="12" borderId="2" xfId="0" applyFont="1" applyFill="1" applyBorder="1" applyAlignment="1">
      <alignment horizontal="center" wrapText="1"/>
    </xf>
    <xf numFmtId="0" fontId="10" fillId="12" borderId="9" xfId="0" applyFont="1" applyFill="1" applyBorder="1" applyAlignment="1">
      <alignment horizontal="center" wrapText="1"/>
    </xf>
    <xf numFmtId="0" fontId="10" fillId="12" borderId="10" xfId="0" applyFont="1" applyFill="1" applyBorder="1" applyAlignment="1">
      <alignment horizontal="center" wrapText="1"/>
    </xf>
    <xf numFmtId="0" fontId="10" fillId="12" borderId="2" xfId="0" applyFont="1" applyFill="1" applyBorder="1" applyAlignment="1">
      <alignment horizontal="center" wrapText="1"/>
    </xf>
    <xf numFmtId="0" fontId="10" fillId="12" borderId="41" xfId="0" applyFont="1" applyFill="1" applyBorder="1" applyAlignment="1">
      <alignment horizontal="center" wrapText="1"/>
    </xf>
    <xf numFmtId="0" fontId="10" fillId="12" borderId="15" xfId="0" applyFont="1" applyFill="1" applyBorder="1" applyAlignment="1">
      <alignment horizontal="center" wrapText="1"/>
    </xf>
    <xf numFmtId="0" fontId="10" fillId="12" borderId="47" xfId="0" applyFont="1" applyFill="1" applyBorder="1" applyAlignment="1">
      <alignment horizontal="center" wrapText="1"/>
    </xf>
    <xf numFmtId="0" fontId="10" fillId="12" borderId="11" xfId="0" applyFont="1" applyFill="1" applyBorder="1" applyAlignment="1">
      <alignment horizontal="center" wrapText="1"/>
    </xf>
    <xf numFmtId="0" fontId="3" fillId="3" borderId="20" xfId="0" applyFont="1" applyFill="1" applyBorder="1" applyAlignment="1" applyProtection="1">
      <alignment horizontal="center" vertical="center" wrapText="1"/>
      <protection locked="0"/>
    </xf>
    <xf numFmtId="0" fontId="3" fillId="3" borderId="59" xfId="0" applyFont="1" applyFill="1" applyBorder="1" applyAlignment="1" applyProtection="1">
      <alignment horizontal="center" vertical="center" wrapText="1"/>
      <protection locked="0"/>
    </xf>
    <xf numFmtId="0" fontId="10" fillId="3" borderId="20" xfId="0" applyFont="1" applyFill="1" applyBorder="1" applyAlignment="1" applyProtection="1">
      <alignment horizontal="center" vertical="center" wrapText="1"/>
      <protection locked="0"/>
    </xf>
    <xf numFmtId="0" fontId="10" fillId="3" borderId="59" xfId="0" applyFont="1" applyFill="1" applyBorder="1" applyAlignment="1" applyProtection="1">
      <alignment horizontal="center" vertical="center" wrapText="1"/>
      <protection locked="0"/>
    </xf>
    <xf numFmtId="0" fontId="3" fillId="17" borderId="20" xfId="0" applyFont="1" applyFill="1" applyBorder="1" applyAlignment="1" applyProtection="1">
      <alignment horizontal="center" vertical="center" wrapText="1"/>
      <protection locked="0"/>
    </xf>
    <xf numFmtId="0" fontId="3" fillId="17" borderId="5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left" vertical="center" wrapText="1"/>
      <protection locked="0"/>
    </xf>
    <xf numFmtId="0" fontId="3" fillId="3" borderId="59" xfId="0" applyFont="1" applyFill="1" applyBorder="1" applyAlignment="1" applyProtection="1">
      <alignment horizontal="left" vertical="center" wrapText="1"/>
      <protection locked="0"/>
    </xf>
    <xf numFmtId="0" fontId="10" fillId="12" borderId="48" xfId="0" applyFont="1" applyFill="1" applyBorder="1" applyAlignment="1">
      <alignment horizontal="center" wrapText="1"/>
    </xf>
    <xf numFmtId="0" fontId="25" fillId="12" borderId="9" xfId="0" applyFont="1" applyFill="1" applyBorder="1" applyAlignment="1">
      <alignment horizontal="center" wrapText="1"/>
    </xf>
    <xf numFmtId="0" fontId="2" fillId="2" borderId="20" xfId="0" applyFont="1" applyFill="1" applyBorder="1" applyAlignment="1">
      <alignment horizontal="left"/>
    </xf>
    <xf numFmtId="0" fontId="2" fillId="2" borderId="59" xfId="0" applyFont="1" applyFill="1" applyBorder="1" applyAlignment="1">
      <alignment horizontal="left"/>
    </xf>
    <xf numFmtId="0" fontId="3" fillId="0" borderId="20" xfId="0" applyFont="1" applyBorder="1" applyAlignment="1" applyProtection="1">
      <alignment horizontal="left" vertical="center" wrapText="1"/>
      <protection locked="0"/>
    </xf>
    <xf numFmtId="0" fontId="3" fillId="0" borderId="59" xfId="0" applyFont="1" applyBorder="1" applyAlignment="1" applyProtection="1">
      <alignment horizontal="left" vertical="center" wrapText="1"/>
      <protection locked="0"/>
    </xf>
    <xf numFmtId="0" fontId="10" fillId="3" borderId="20" xfId="0" applyFont="1" applyFill="1" applyBorder="1" applyAlignment="1" applyProtection="1">
      <alignment horizontal="left" vertical="center" wrapText="1"/>
      <protection locked="0"/>
    </xf>
    <xf numFmtId="0" fontId="10" fillId="3" borderId="59" xfId="0" applyFont="1" applyFill="1" applyBorder="1" applyAlignment="1" applyProtection="1">
      <alignment horizontal="left" vertical="center" wrapText="1"/>
      <protection locked="0"/>
    </xf>
    <xf numFmtId="0" fontId="37" fillId="12" borderId="20" xfId="0" applyFont="1" applyFill="1" applyBorder="1" applyAlignment="1">
      <alignment horizontal="left" vertical="center" wrapText="1"/>
    </xf>
    <xf numFmtId="0" fontId="37" fillId="12" borderId="5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59" xfId="0" applyFont="1" applyFill="1" applyBorder="1" applyAlignment="1">
      <alignment horizontal="left" vertical="center" wrapText="1"/>
    </xf>
    <xf numFmtId="0" fontId="3" fillId="12" borderId="0" xfId="0" applyFont="1" applyFill="1" applyAlignment="1">
      <alignment horizontal="left" wrapText="1"/>
    </xf>
    <xf numFmtId="0" fontId="3" fillId="12" borderId="33" xfId="0" applyFont="1" applyFill="1" applyBorder="1" applyAlignment="1">
      <alignment horizontal="left" wrapText="1"/>
    </xf>
    <xf numFmtId="0" fontId="10" fillId="12" borderId="0" xfId="0" applyFont="1" applyFill="1" applyAlignment="1">
      <alignment horizontal="left" vertical="center" wrapText="1"/>
    </xf>
    <xf numFmtId="0" fontId="10" fillId="12" borderId="33" xfId="0" applyFont="1" applyFill="1" applyBorder="1" applyAlignment="1">
      <alignment horizontal="left" vertical="center" wrapText="1"/>
    </xf>
    <xf numFmtId="0" fontId="3" fillId="3" borderId="28" xfId="0" applyFont="1" applyFill="1" applyBorder="1" applyAlignment="1" applyProtection="1">
      <alignment horizontal="left" wrapText="1"/>
      <protection locked="0"/>
    </xf>
    <xf numFmtId="0" fontId="3" fillId="3" borderId="29" xfId="0" applyFont="1" applyFill="1" applyBorder="1" applyAlignment="1" applyProtection="1">
      <alignment horizontal="left" wrapText="1"/>
      <protection locked="0"/>
    </xf>
    <xf numFmtId="0" fontId="10" fillId="3" borderId="25" xfId="0" applyFont="1" applyFill="1" applyBorder="1" applyAlignment="1" applyProtection="1">
      <alignment horizontal="left" vertical="center" wrapText="1"/>
      <protection locked="0"/>
    </xf>
    <xf numFmtId="0" fontId="10" fillId="3" borderId="31" xfId="0" applyFont="1" applyFill="1" applyBorder="1" applyAlignment="1" applyProtection="1">
      <alignment horizontal="left" vertical="center" wrapText="1"/>
      <protection locked="0"/>
    </xf>
    <xf numFmtId="0" fontId="12" fillId="3" borderId="20" xfId="0" applyFont="1" applyFill="1" applyBorder="1" applyAlignment="1">
      <alignment horizontal="left" vertical="top" wrapText="1"/>
    </xf>
    <xf numFmtId="0" fontId="12" fillId="3" borderId="59" xfId="0" applyFont="1" applyFill="1" applyBorder="1" applyAlignment="1">
      <alignment horizontal="left" vertical="top" wrapText="1"/>
    </xf>
    <xf numFmtId="0" fontId="37" fillId="12" borderId="20" xfId="0" applyFont="1" applyFill="1" applyBorder="1" applyAlignment="1">
      <alignment horizontal="left" vertical="center"/>
    </xf>
    <xf numFmtId="0" fontId="37" fillId="12" borderId="59" xfId="0" applyFont="1" applyFill="1" applyBorder="1" applyAlignment="1">
      <alignment horizontal="left" vertical="center"/>
    </xf>
    <xf numFmtId="0" fontId="68" fillId="12" borderId="20" xfId="0" applyFont="1" applyFill="1" applyBorder="1" applyAlignment="1">
      <alignment horizontal="left" vertical="center" wrapText="1"/>
    </xf>
    <xf numFmtId="0" fontId="68" fillId="12" borderId="59" xfId="0" applyFont="1" applyFill="1" applyBorder="1" applyAlignment="1">
      <alignment horizontal="left" vertical="center" wrapText="1"/>
    </xf>
    <xf numFmtId="0" fontId="12" fillId="12" borderId="26" xfId="0" applyFont="1" applyFill="1" applyBorder="1" applyAlignment="1">
      <alignment horizontal="left" vertical="center" wrapText="1"/>
    </xf>
    <xf numFmtId="0" fontId="12" fillId="12" borderId="29" xfId="0" applyFont="1" applyFill="1" applyBorder="1" applyAlignment="1">
      <alignment horizontal="left" vertical="center" wrapText="1"/>
    </xf>
    <xf numFmtId="0" fontId="2" fillId="3" borderId="20" xfId="0" applyFont="1" applyFill="1" applyBorder="1" applyAlignment="1" applyProtection="1">
      <alignment horizontal="left" vertical="center" wrapText="1"/>
      <protection locked="0"/>
    </xf>
    <xf numFmtId="0" fontId="2" fillId="3" borderId="59" xfId="0" applyFont="1" applyFill="1" applyBorder="1" applyAlignment="1" applyProtection="1">
      <alignment horizontal="left" vertical="center" wrapText="1"/>
      <protection locked="0"/>
    </xf>
    <xf numFmtId="0" fontId="37" fillId="12" borderId="17" xfId="0" applyFont="1" applyFill="1" applyBorder="1" applyAlignment="1">
      <alignment horizontal="left" vertical="top"/>
    </xf>
    <xf numFmtId="0" fontId="37" fillId="12" borderId="5" xfId="0" applyFont="1" applyFill="1" applyBorder="1" applyAlignment="1">
      <alignment horizontal="left" vertical="top"/>
    </xf>
    <xf numFmtId="0" fontId="10" fillId="12" borderId="14" xfId="0" applyFont="1" applyFill="1" applyBorder="1" applyAlignment="1">
      <alignment horizontal="left" vertical="top" wrapText="1"/>
    </xf>
    <xf numFmtId="0" fontId="10" fillId="12" borderId="3" xfId="0" applyFont="1" applyFill="1" applyBorder="1" applyAlignment="1">
      <alignment horizontal="left" vertical="top" wrapText="1"/>
    </xf>
    <xf numFmtId="0" fontId="70" fillId="12" borderId="12" xfId="0" applyFont="1" applyFill="1" applyBorder="1" applyAlignment="1">
      <alignment horizontal="left" vertical="top" wrapText="1"/>
    </xf>
    <xf numFmtId="0" fontId="70" fillId="12" borderId="8" xfId="0" applyFont="1" applyFill="1" applyBorder="1" applyAlignment="1">
      <alignment horizontal="left" vertical="top" wrapText="1"/>
    </xf>
    <xf numFmtId="0" fontId="25" fillId="3" borderId="22" xfId="0" applyFont="1" applyFill="1" applyBorder="1" applyAlignment="1">
      <alignment horizontal="center" vertical="top" wrapText="1"/>
    </xf>
    <xf numFmtId="0" fontId="25" fillId="3" borderId="0" xfId="0" applyFont="1" applyFill="1" applyAlignment="1">
      <alignment horizontal="center" vertical="top" wrapText="1"/>
    </xf>
    <xf numFmtId="0" fontId="2" fillId="2" borderId="1" xfId="0" applyFont="1" applyFill="1" applyBorder="1" applyAlignment="1">
      <alignment horizontal="center" vertical="top"/>
    </xf>
    <xf numFmtId="0" fontId="28" fillId="5" borderId="1" xfId="0" applyFont="1" applyFill="1" applyBorder="1" applyAlignment="1">
      <alignment horizontal="center" vertical="top" wrapText="1"/>
    </xf>
    <xf numFmtId="0" fontId="42" fillId="9" borderId="38" xfId="0" applyFont="1" applyFill="1" applyBorder="1" applyAlignment="1" applyProtection="1">
      <alignment horizontal="center" vertical="center" wrapText="1"/>
      <protection locked="0"/>
    </xf>
    <xf numFmtId="0" fontId="42" fillId="9" borderId="7" xfId="0" applyFont="1" applyFill="1" applyBorder="1" applyAlignment="1" applyProtection="1">
      <alignment horizontal="center" vertical="center" wrapText="1"/>
      <protection locked="0"/>
    </xf>
    <xf numFmtId="0" fontId="31" fillId="5" borderId="1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38" fillId="5" borderId="13"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31" fillId="8" borderId="12" xfId="0" applyFont="1" applyFill="1" applyBorder="1" applyAlignment="1">
      <alignment horizontal="center" vertical="center" wrapText="1"/>
    </xf>
    <xf numFmtId="0" fontId="31" fillId="8" borderId="13" xfId="0" applyFont="1" applyFill="1" applyBorder="1" applyAlignment="1">
      <alignment horizontal="center" vertical="center" wrapText="1"/>
    </xf>
    <xf numFmtId="0" fontId="31" fillId="5" borderId="12" xfId="0" applyFont="1" applyFill="1" applyBorder="1" applyAlignment="1">
      <alignment horizontal="center" vertical="top"/>
    </xf>
    <xf numFmtId="0" fontId="31" fillId="5" borderId="13" xfId="0" applyFont="1" applyFill="1" applyBorder="1" applyAlignment="1">
      <alignment horizontal="center" vertical="top"/>
    </xf>
    <xf numFmtId="0" fontId="31" fillId="5" borderId="8" xfId="0" applyFont="1" applyFill="1" applyBorder="1" applyAlignment="1">
      <alignment horizontal="center" vertical="top"/>
    </xf>
    <xf numFmtId="0" fontId="14" fillId="0" borderId="0" xfId="0" applyFont="1"/>
  </cellXfs>
  <cellStyles count="5">
    <cellStyle name="Check Cell" xfId="4" builtinId="23"/>
    <cellStyle name="Comma" xfId="2" builtinId="3"/>
    <cellStyle name="Currency" xfId="3" builtinId="4"/>
    <cellStyle name="Hyperlink" xfId="1" builtinId="8"/>
    <cellStyle name="Normal" xfId="0" builtinId="0"/>
  </cellStyles>
  <dxfs count="0"/>
  <tableStyles count="0" defaultTableStyle="TableStyleMedium9" defaultPivotStyle="PivotStyleLight16"/>
  <colors>
    <mruColors>
      <color rgb="FF7CF828"/>
      <color rgb="FFFFFF99"/>
      <color rgb="FF66CCFF"/>
      <color rgb="FF0066FF"/>
      <color rgb="FFFFFF00"/>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http://www.ecfr.gov/cgi-bin/text-idx?c=ecfr&amp;rgn=div5&amp;view=text&amp;node=7:4.1.1.1.1&amp;idno=7#_top"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http://www.ecfr.gov/cgi-bin/text-idx?SID=2bb426b37d35110f8f8d5b7c23cd39d3&amp;node=7:4.1.1.2.14.4&amp;rgn=div6#_top"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38100</xdr:rowOff>
    </xdr:from>
    <xdr:to>
      <xdr:col>0</xdr:col>
      <xdr:colOff>10096500</xdr:colOff>
      <xdr:row>14</xdr:row>
      <xdr:rowOff>0</xdr:rowOff>
    </xdr:to>
    <xdr:sp macro="" textlink="">
      <xdr:nvSpPr>
        <xdr:cNvPr id="9" name="Text Box 14">
          <a:extLst>
            <a:ext uri="{FF2B5EF4-FFF2-40B4-BE49-F238E27FC236}">
              <a16:creationId xmlns:a16="http://schemas.microsoft.com/office/drawing/2014/main" id="{00000000-0008-0000-0100-000009000000}"/>
            </a:ext>
          </a:extLst>
        </xdr:cNvPr>
        <xdr:cNvSpPr txBox="1">
          <a:spLocks noChangeArrowheads="1"/>
        </xdr:cNvSpPr>
      </xdr:nvSpPr>
      <xdr:spPr bwMode="auto">
        <a:xfrm>
          <a:off x="304800" y="8382000"/>
          <a:ext cx="10096500" cy="259080"/>
        </a:xfrm>
        <a:prstGeom prst="rect">
          <a:avLst/>
        </a:prstGeom>
        <a:solidFill>
          <a:schemeClr val="accent6">
            <a:lumMod val="40000"/>
            <a:lumOff val="60000"/>
          </a:schemeClr>
        </a:solidFill>
        <a:ln w="25400">
          <a:solidFill>
            <a:srgbClr val="F96A1B"/>
          </a:solidFill>
          <a:miter lim="800000"/>
          <a:headEnd/>
          <a:tailEnd/>
        </a:ln>
      </xdr:spPr>
      <xdr:txBody>
        <a:bodyPr vertOverflow="clip" wrap="square" lIns="91440" tIns="45720" rIns="91440" bIns="45720" anchor="t" upright="1"/>
        <a:lstStyle/>
        <a:p>
          <a:pPr algn="l" rtl="0">
            <a:defRPr sz="1000"/>
          </a:pPr>
          <a:r>
            <a:rPr lang="en-US" sz="1600" b="1" i="0" u="none" strike="noStrike" baseline="0">
              <a:solidFill>
                <a:srgbClr val="000000"/>
              </a:solidFill>
              <a:latin typeface="+mn-lt"/>
              <a:cs typeface="Times New Roman"/>
            </a:rPr>
            <a:t>Step #1 Track and Schedule SFA procurement review </a:t>
          </a:r>
        </a:p>
      </xdr:txBody>
    </xdr:sp>
    <xdr:clientData/>
  </xdr:twoCellAnchor>
  <xdr:oneCellAnchor>
    <xdr:from>
      <xdr:col>0</xdr:col>
      <xdr:colOff>17319</xdr:colOff>
      <xdr:row>117</xdr:row>
      <xdr:rowOff>102869</xdr:rowOff>
    </xdr:from>
    <xdr:ext cx="9831917" cy="264560"/>
    <xdr:sp macro="" textlink="">
      <xdr:nvSpPr>
        <xdr:cNvPr id="13" name="Text Box 1">
          <a:extLst>
            <a:ext uri="{FF2B5EF4-FFF2-40B4-BE49-F238E27FC236}">
              <a16:creationId xmlns:a16="http://schemas.microsoft.com/office/drawing/2014/main" id="{00000000-0008-0000-0100-00000D000000}"/>
            </a:ext>
          </a:extLst>
        </xdr:cNvPr>
        <xdr:cNvSpPr txBox="1">
          <a:spLocks noChangeArrowheads="1"/>
        </xdr:cNvSpPr>
      </xdr:nvSpPr>
      <xdr:spPr bwMode="auto">
        <a:xfrm>
          <a:off x="17319" y="63123733"/>
          <a:ext cx="9831917" cy="264560"/>
        </a:xfrm>
        <a:prstGeom prst="rect">
          <a:avLst/>
        </a:prstGeom>
        <a:solidFill>
          <a:schemeClr val="accent6">
            <a:lumMod val="40000"/>
            <a:lumOff val="60000"/>
          </a:schemeClr>
        </a:solidFill>
        <a:ln w="25400">
          <a:solidFill>
            <a:srgbClr val="F96A1B"/>
          </a:solidFill>
          <a:miter lim="800000"/>
          <a:headEnd/>
          <a:tailEnd/>
        </a:ln>
      </xdr:spPr>
      <xdr:txBody>
        <a:bodyPr wrap="square" lIns="91440" tIns="45720" rIns="91440" bIns="45720" anchor="t" upright="1">
          <a:spAutoFit/>
        </a:bodyPr>
        <a:lstStyle/>
        <a:p>
          <a:pPr algn="l" rtl="0">
            <a:defRPr sz="1000"/>
          </a:pPr>
          <a:r>
            <a:rPr lang="en-US" sz="1100" b="1" i="0" u="none" strike="noStrike" baseline="0">
              <a:solidFill>
                <a:srgbClr val="000000"/>
              </a:solidFill>
              <a:latin typeface="+mn-lt"/>
              <a:cs typeface="Times New Roman"/>
            </a:rPr>
            <a:t>Summary of the procurement review process</a:t>
          </a:r>
        </a:p>
      </xdr:txBody>
    </xdr:sp>
    <xdr:clientData/>
  </xdr:oneCellAnchor>
  <xdr:twoCellAnchor>
    <xdr:from>
      <xdr:col>0</xdr:col>
      <xdr:colOff>0</xdr:colOff>
      <xdr:row>13</xdr:row>
      <xdr:rowOff>38100</xdr:rowOff>
    </xdr:from>
    <xdr:to>
      <xdr:col>0</xdr:col>
      <xdr:colOff>10096500</xdr:colOff>
      <xdr:row>14</xdr:row>
      <xdr:rowOff>0</xdr:rowOff>
    </xdr:to>
    <xdr:sp macro="" textlink="">
      <xdr:nvSpPr>
        <xdr:cNvPr id="24" name="Text Box 14">
          <a:extLst>
            <a:ext uri="{FF2B5EF4-FFF2-40B4-BE49-F238E27FC236}">
              <a16:creationId xmlns:a16="http://schemas.microsoft.com/office/drawing/2014/main" id="{00000000-0008-0000-0100-000018000000}"/>
            </a:ext>
          </a:extLst>
        </xdr:cNvPr>
        <xdr:cNvSpPr txBox="1">
          <a:spLocks noChangeArrowheads="1"/>
        </xdr:cNvSpPr>
      </xdr:nvSpPr>
      <xdr:spPr bwMode="auto">
        <a:xfrm>
          <a:off x="0" y="14039850"/>
          <a:ext cx="9839325" cy="381000"/>
        </a:xfrm>
        <a:prstGeom prst="rect">
          <a:avLst/>
        </a:prstGeom>
        <a:solidFill>
          <a:schemeClr val="accent6">
            <a:lumMod val="40000"/>
            <a:lumOff val="60000"/>
          </a:schemeClr>
        </a:solidFill>
        <a:ln w="25400">
          <a:solidFill>
            <a:srgbClr val="F96A1B"/>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mn-lt"/>
              <a:cs typeface="Times New Roman"/>
            </a:rPr>
            <a:t>STEP ONE: Schedule a SFA procurement review </a:t>
          </a:r>
        </a:p>
      </xdr:txBody>
    </xdr:sp>
    <xdr:clientData/>
  </xdr:twoCellAnchor>
  <xdr:oneCellAnchor>
    <xdr:from>
      <xdr:col>0</xdr:col>
      <xdr:colOff>0</xdr:colOff>
      <xdr:row>32</xdr:row>
      <xdr:rowOff>52917</xdr:rowOff>
    </xdr:from>
    <xdr:ext cx="9821333" cy="280205"/>
    <xdr:sp macro="" textlink="">
      <xdr:nvSpPr>
        <xdr:cNvPr id="25" name="Text Box 13">
          <a:extLst>
            <a:ext uri="{FF2B5EF4-FFF2-40B4-BE49-F238E27FC236}">
              <a16:creationId xmlns:a16="http://schemas.microsoft.com/office/drawing/2014/main" id="{00000000-0008-0000-0100-000019000000}"/>
            </a:ext>
          </a:extLst>
        </xdr:cNvPr>
        <xdr:cNvSpPr txBox="1">
          <a:spLocks noChangeArrowheads="1"/>
        </xdr:cNvSpPr>
      </xdr:nvSpPr>
      <xdr:spPr bwMode="auto">
        <a:xfrm>
          <a:off x="0" y="23251584"/>
          <a:ext cx="9821333" cy="280205"/>
        </a:xfrm>
        <a:prstGeom prst="rect">
          <a:avLst/>
        </a:prstGeom>
        <a:solidFill>
          <a:schemeClr val="accent6">
            <a:lumMod val="40000"/>
            <a:lumOff val="60000"/>
          </a:schemeClr>
        </a:solidFill>
        <a:ln w="25400">
          <a:solidFill>
            <a:srgbClr val="F96A1B"/>
          </a:solidFill>
          <a:miter lim="800000"/>
          <a:headEnd/>
          <a:tailEnd/>
        </a:ln>
      </xdr:spPr>
      <xdr:txBody>
        <a:bodyPr wrap="square" lIns="91440" tIns="45720" rIns="91440" bIns="45720" anchor="t" upright="1">
          <a:spAutoFit/>
        </a:bodyPr>
        <a:lstStyle/>
        <a:p>
          <a:pPr algn="l" rtl="0">
            <a:defRPr sz="1000"/>
          </a:pPr>
          <a:r>
            <a:rPr lang="en-US" sz="1200" b="1" i="0" u="none" strike="noStrike" baseline="0">
              <a:solidFill>
                <a:srgbClr val="000000"/>
              </a:solidFill>
              <a:latin typeface="+mn-lt"/>
              <a:cs typeface="Times New Roman"/>
            </a:rPr>
            <a:t>STEP TWO:  Obtaining Procurement Information  </a:t>
          </a:r>
        </a:p>
      </xdr:txBody>
    </xdr:sp>
    <xdr:clientData/>
  </xdr:oneCellAnchor>
  <xdr:oneCellAnchor>
    <xdr:from>
      <xdr:col>0</xdr:col>
      <xdr:colOff>0</xdr:colOff>
      <xdr:row>92</xdr:row>
      <xdr:rowOff>42756</xdr:rowOff>
    </xdr:from>
    <xdr:ext cx="9810750" cy="264560"/>
    <xdr:sp macro="" textlink="">
      <xdr:nvSpPr>
        <xdr:cNvPr id="26" name="Text Box 7">
          <a:extLst>
            <a:ext uri="{FF2B5EF4-FFF2-40B4-BE49-F238E27FC236}">
              <a16:creationId xmlns:a16="http://schemas.microsoft.com/office/drawing/2014/main" id="{00000000-0008-0000-0100-00001A000000}"/>
            </a:ext>
          </a:extLst>
        </xdr:cNvPr>
        <xdr:cNvSpPr txBox="1">
          <a:spLocks noChangeArrowheads="1"/>
        </xdr:cNvSpPr>
      </xdr:nvSpPr>
      <xdr:spPr bwMode="auto">
        <a:xfrm>
          <a:off x="0" y="57499673"/>
          <a:ext cx="9810750" cy="264560"/>
        </a:xfrm>
        <a:prstGeom prst="rect">
          <a:avLst/>
        </a:prstGeom>
        <a:solidFill>
          <a:schemeClr val="accent6">
            <a:lumMod val="40000"/>
            <a:lumOff val="60000"/>
          </a:schemeClr>
        </a:solidFill>
        <a:ln w="25400">
          <a:solidFill>
            <a:srgbClr val="F96A1B"/>
          </a:solidFill>
          <a:miter lim="800000"/>
          <a:headEnd/>
          <a:tailEnd/>
        </a:ln>
      </xdr:spPr>
      <xdr:txBody>
        <a:bodyPr wrap="square" lIns="91440" tIns="45720" rIns="91440" bIns="45720" anchor="t" upright="1">
          <a:spAutoFit/>
        </a:bodyPr>
        <a:lstStyle/>
        <a:p>
          <a:pPr algn="l" rtl="0">
            <a:defRPr sz="1000"/>
          </a:pPr>
          <a:r>
            <a:rPr lang="en-US" sz="1100" b="1" i="0" u="none" strike="noStrike" baseline="0">
              <a:solidFill>
                <a:srgbClr val="000000"/>
              </a:solidFill>
              <a:latin typeface="+mn-lt"/>
              <a:cs typeface="Times New Roman"/>
            </a:rPr>
            <a:t>STEP THREE:  Assessing Compliance with Procurement Standards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28575</xdr:rowOff>
    </xdr:from>
    <xdr:to>
      <xdr:col>1</xdr:col>
      <xdr:colOff>1039906</xdr:colOff>
      <xdr:row>1</xdr:row>
      <xdr:rowOff>102755</xdr:rowOff>
    </xdr:to>
    <xdr:pic>
      <xdr:nvPicPr>
        <xdr:cNvPr id="2" name="Picture 1" title="USDA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64760"/>
        <a:stretch>
          <a:fillRect/>
        </a:stretch>
      </xdr:blipFill>
      <xdr:spPr>
        <a:xfrm>
          <a:off x="314325" y="28575"/>
          <a:ext cx="1039906" cy="276225"/>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152400</xdr:colOff>
      <xdr:row>1</xdr:row>
      <xdr:rowOff>152400</xdr:rowOff>
    </xdr:to>
    <xdr:pic>
      <xdr:nvPicPr>
        <xdr:cNvPr id="3" name="Picture 2" descr="return arrow">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152400</xdr:colOff>
      <xdr:row>5</xdr:row>
      <xdr:rowOff>152400</xdr:rowOff>
    </xdr:to>
    <xdr:pic>
      <xdr:nvPicPr>
        <xdr:cNvPr id="12" name="Picture 11" descr="return arrow">
          <a:hlinkClick xmlns:r="http://schemas.openxmlformats.org/officeDocument/2006/relationships" r:id="rId1"/>
          <a:extLst>
            <a:ext uri="{FF2B5EF4-FFF2-40B4-BE49-F238E27FC236}">
              <a16:creationId xmlns:a16="http://schemas.microsoft.com/office/drawing/2014/main" id="{00000000-0008-0000-16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467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152400</xdr:colOff>
      <xdr:row>23</xdr:row>
      <xdr:rowOff>152400</xdr:rowOff>
    </xdr:to>
    <xdr:pic>
      <xdr:nvPicPr>
        <xdr:cNvPr id="13" name="Picture 12" descr="return arrow">
          <a:hlinkClick xmlns:r="http://schemas.openxmlformats.org/officeDocument/2006/relationships" r:id="rId1"/>
          <a:extLst>
            <a:ext uri="{FF2B5EF4-FFF2-40B4-BE49-F238E27FC236}">
              <a16:creationId xmlns:a16="http://schemas.microsoft.com/office/drawing/2014/main" id="{00000000-0008-0000-16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277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152400</xdr:colOff>
      <xdr:row>39</xdr:row>
      <xdr:rowOff>152400</xdr:rowOff>
    </xdr:to>
    <xdr:pic>
      <xdr:nvPicPr>
        <xdr:cNvPr id="14" name="Picture 13" descr="return arrow">
          <a:hlinkClick xmlns:r="http://schemas.openxmlformats.org/officeDocument/2006/relationships" r:id="rId1"/>
          <a:extLst>
            <a:ext uri="{FF2B5EF4-FFF2-40B4-BE49-F238E27FC236}">
              <a16:creationId xmlns:a16="http://schemas.microsoft.com/office/drawing/2014/main" id="{00000000-0008-0000-16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325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152400</xdr:colOff>
      <xdr:row>49</xdr:row>
      <xdr:rowOff>152400</xdr:rowOff>
    </xdr:to>
    <xdr:pic>
      <xdr:nvPicPr>
        <xdr:cNvPr id="15" name="Picture 14" descr="return arrow">
          <a:hlinkClick xmlns:r="http://schemas.openxmlformats.org/officeDocument/2006/relationships" r:id="rId1"/>
          <a:extLst>
            <a:ext uri="{FF2B5EF4-FFF2-40B4-BE49-F238E27FC236}">
              <a16:creationId xmlns:a16="http://schemas.microsoft.com/office/drawing/2014/main" id="{00000000-0008-0000-1600-00000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230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81</xdr:row>
      <xdr:rowOff>0</xdr:rowOff>
    </xdr:from>
    <xdr:to>
      <xdr:col>0</xdr:col>
      <xdr:colOff>152400</xdr:colOff>
      <xdr:row>81</xdr:row>
      <xdr:rowOff>152400</xdr:rowOff>
    </xdr:to>
    <xdr:pic>
      <xdr:nvPicPr>
        <xdr:cNvPr id="16" name="Picture 15" descr="return arrow">
          <a:hlinkClick xmlns:r="http://schemas.openxmlformats.org/officeDocument/2006/relationships" r:id="rId1"/>
          <a:extLst>
            <a:ext uri="{FF2B5EF4-FFF2-40B4-BE49-F238E27FC236}">
              <a16:creationId xmlns:a16="http://schemas.microsoft.com/office/drawing/2014/main" id="{00000000-0008-0000-1600-00001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8326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ecfr.gov/cgi-bin/text-idx?tpl=/ecfrbrowse/Title02/2cfr200_main_02.tp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cfr.gov/cgi-bin/text-idx?c=ecfr;sid=a4a980b0717cc097f0bb73ffa6d7b28e;rgn=div5;view=text;node=7%3A4.1.1.1.1;idno=7;cc=ecfr"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ecfr.gov/cgi-bin/text-idx?c=ecfr;sid=a4a980b0717cc097f0bb73ffa6d7b28e;rgn=div5;view=text;node=7%3A4.1.1.1.1;idno=7;cc=ecfr"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CCCCFF"/>
  </sheetPr>
  <dimension ref="A1:A165"/>
  <sheetViews>
    <sheetView showGridLines="0" topLeftCell="A4" zoomScale="110" zoomScaleNormal="110" workbookViewId="0">
      <selection activeCell="A5" sqref="A5:A7"/>
    </sheetView>
  </sheetViews>
  <sheetFormatPr defaultRowHeight="15" x14ac:dyDescent="0.25"/>
  <cols>
    <col min="1" max="1" width="147.5703125" style="553" customWidth="1"/>
  </cols>
  <sheetData>
    <row r="1" spans="1:1" ht="21" x14ac:dyDescent="0.35">
      <c r="A1" s="533" t="s">
        <v>251</v>
      </c>
    </row>
    <row r="2" spans="1:1" ht="21.75" thickBot="1" x14ac:dyDescent="0.4">
      <c r="A2" s="533"/>
    </row>
    <row r="3" spans="1:1" ht="29.25" customHeight="1" thickBot="1" x14ac:dyDescent="0.3">
      <c r="A3" s="156" t="s">
        <v>947</v>
      </c>
    </row>
    <row r="4" spans="1:1" ht="24" customHeight="1" x14ac:dyDescent="0.25">
      <c r="A4" s="534" t="s">
        <v>419</v>
      </c>
    </row>
    <row r="5" spans="1:1" ht="236.25" customHeight="1" x14ac:dyDescent="0.25">
      <c r="A5" s="580" t="s">
        <v>838</v>
      </c>
    </row>
    <row r="6" spans="1:1" ht="58.5" customHeight="1" x14ac:dyDescent="0.25">
      <c r="A6" s="580"/>
    </row>
    <row r="7" spans="1:1" ht="214.5" customHeight="1" x14ac:dyDescent="0.25">
      <c r="A7" s="581"/>
    </row>
    <row r="8" spans="1:1" ht="33" customHeight="1" x14ac:dyDescent="0.25">
      <c r="A8" s="536" t="s">
        <v>486</v>
      </c>
    </row>
    <row r="9" spans="1:1" ht="45" customHeight="1" x14ac:dyDescent="0.25">
      <c r="A9" s="556" t="s">
        <v>775</v>
      </c>
    </row>
    <row r="10" spans="1:1" ht="31.5" customHeight="1" x14ac:dyDescent="0.25">
      <c r="A10" s="556" t="s">
        <v>776</v>
      </c>
    </row>
    <row r="11" spans="1:1" ht="15.75" customHeight="1" x14ac:dyDescent="0.25">
      <c r="A11" s="556" t="s">
        <v>777</v>
      </c>
    </row>
    <row r="12" spans="1:1" ht="22.5" customHeight="1" x14ac:dyDescent="0.25">
      <c r="A12" s="556" t="s">
        <v>778</v>
      </c>
    </row>
    <row r="13" spans="1:1" ht="45.75" customHeight="1" x14ac:dyDescent="0.25">
      <c r="A13" s="556" t="s">
        <v>779</v>
      </c>
    </row>
    <row r="14" spans="1:1" ht="23.25" customHeight="1" x14ac:dyDescent="0.25">
      <c r="A14" s="40"/>
    </row>
    <row r="15" spans="1:1" ht="30" x14ac:dyDescent="0.25">
      <c r="A15" s="559" t="s">
        <v>780</v>
      </c>
    </row>
    <row r="16" spans="1:1" ht="45" x14ac:dyDescent="0.25">
      <c r="A16" s="560" t="s">
        <v>788</v>
      </c>
    </row>
    <row r="17" spans="1:1" ht="45" x14ac:dyDescent="0.25">
      <c r="A17" s="560" t="s">
        <v>789</v>
      </c>
    </row>
    <row r="18" spans="1:1" ht="45" x14ac:dyDescent="0.25">
      <c r="A18" s="560" t="s">
        <v>790</v>
      </c>
    </row>
    <row r="19" spans="1:1" ht="45" x14ac:dyDescent="0.25">
      <c r="A19" s="560" t="s">
        <v>840</v>
      </c>
    </row>
    <row r="20" spans="1:1" ht="30" x14ac:dyDescent="0.25">
      <c r="A20" s="560" t="s">
        <v>791</v>
      </c>
    </row>
    <row r="21" spans="1:1" ht="45" x14ac:dyDescent="0.25">
      <c r="A21" s="561" t="s">
        <v>781</v>
      </c>
    </row>
    <row r="22" spans="1:1" x14ac:dyDescent="0.25">
      <c r="A22" s="559"/>
    </row>
    <row r="23" spans="1:1" ht="30" x14ac:dyDescent="0.25">
      <c r="A23" s="559" t="s">
        <v>782</v>
      </c>
    </row>
    <row r="24" spans="1:1" x14ac:dyDescent="0.25">
      <c r="A24" s="560" t="s">
        <v>783</v>
      </c>
    </row>
    <row r="25" spans="1:1" x14ac:dyDescent="0.25">
      <c r="A25" s="560" t="s">
        <v>784</v>
      </c>
    </row>
    <row r="26" spans="1:1" ht="22.5" customHeight="1" x14ac:dyDescent="0.25">
      <c r="A26" s="560" t="s">
        <v>785</v>
      </c>
    </row>
    <row r="27" spans="1:1" ht="30" x14ac:dyDescent="0.25">
      <c r="A27" s="560" t="s">
        <v>786</v>
      </c>
    </row>
    <row r="28" spans="1:1" ht="30" x14ac:dyDescent="0.25">
      <c r="A28" s="560" t="s">
        <v>841</v>
      </c>
    </row>
    <row r="29" spans="1:1" x14ac:dyDescent="0.25">
      <c r="A29" s="559"/>
    </row>
    <row r="30" spans="1:1" x14ac:dyDescent="0.25">
      <c r="A30" s="559" t="s">
        <v>787</v>
      </c>
    </row>
    <row r="31" spans="1:1" ht="85.5" customHeight="1" x14ac:dyDescent="0.25">
      <c r="A31" s="538" t="s">
        <v>487</v>
      </c>
    </row>
    <row r="32" spans="1:1" ht="45" x14ac:dyDescent="0.25">
      <c r="A32" s="539" t="s">
        <v>488</v>
      </c>
    </row>
    <row r="33" spans="1:1" ht="21" x14ac:dyDescent="0.25">
      <c r="A33" s="540"/>
    </row>
    <row r="34" spans="1:1" ht="57" customHeight="1" x14ac:dyDescent="0.25">
      <c r="A34" s="555" t="s">
        <v>842</v>
      </c>
    </row>
    <row r="35" spans="1:1" ht="126.75" customHeight="1" x14ac:dyDescent="0.25">
      <c r="A35" s="559" t="s">
        <v>792</v>
      </c>
    </row>
    <row r="36" spans="1:1" ht="15.75" customHeight="1" x14ac:dyDescent="0.25">
      <c r="A36" s="559" t="s">
        <v>793</v>
      </c>
    </row>
    <row r="37" spans="1:1" ht="28.5" customHeight="1" x14ac:dyDescent="0.25">
      <c r="A37" s="560" t="s">
        <v>794</v>
      </c>
    </row>
    <row r="38" spans="1:1" ht="40.5" customHeight="1" x14ac:dyDescent="0.25">
      <c r="A38" s="560" t="s">
        <v>795</v>
      </c>
    </row>
    <row r="39" spans="1:1" ht="78.75" customHeight="1" x14ac:dyDescent="0.25">
      <c r="A39" s="534" t="s">
        <v>844</v>
      </c>
    </row>
    <row r="40" spans="1:1" ht="126" x14ac:dyDescent="0.25">
      <c r="A40" s="158" t="s">
        <v>843</v>
      </c>
    </row>
    <row r="41" spans="1:1" ht="21" x14ac:dyDescent="0.25">
      <c r="A41" s="39"/>
    </row>
    <row r="42" spans="1:1" ht="94.5" customHeight="1" x14ac:dyDescent="0.25">
      <c r="A42" s="158" t="s">
        <v>769</v>
      </c>
    </row>
    <row r="43" spans="1:1" ht="31.5" x14ac:dyDescent="0.25">
      <c r="A43" s="158" t="s">
        <v>489</v>
      </c>
    </row>
    <row r="44" spans="1:1" ht="21" x14ac:dyDescent="0.25">
      <c r="A44" s="39"/>
    </row>
    <row r="45" spans="1:1" ht="31.5" x14ac:dyDescent="0.25">
      <c r="A45" s="534" t="s">
        <v>845</v>
      </c>
    </row>
    <row r="46" spans="1:1" ht="15.75" x14ac:dyDescent="0.25">
      <c r="A46" s="541" t="s">
        <v>297</v>
      </c>
    </row>
    <row r="47" spans="1:1" ht="21" x14ac:dyDescent="0.25">
      <c r="A47" s="542"/>
    </row>
    <row r="48" spans="1:1" ht="15.75" x14ac:dyDescent="0.25">
      <c r="A48" s="159" t="s">
        <v>846</v>
      </c>
    </row>
    <row r="49" spans="1:1" ht="15.75" x14ac:dyDescent="0.25">
      <c r="A49" s="534" t="s">
        <v>298</v>
      </c>
    </row>
    <row r="50" spans="1:1" ht="15.75" x14ac:dyDescent="0.25">
      <c r="A50" s="158" t="s">
        <v>490</v>
      </c>
    </row>
    <row r="51" spans="1:1" ht="15.75" x14ac:dyDescent="0.25">
      <c r="A51" s="158" t="s">
        <v>847</v>
      </c>
    </row>
    <row r="52" spans="1:1" ht="31.5" x14ac:dyDescent="0.25">
      <c r="A52" s="158" t="s">
        <v>848</v>
      </c>
    </row>
    <row r="53" spans="1:1" ht="15.75" x14ac:dyDescent="0.25">
      <c r="A53" s="158"/>
    </row>
    <row r="54" spans="1:1" ht="63" x14ac:dyDescent="0.25">
      <c r="A54" s="158" t="s">
        <v>849</v>
      </c>
    </row>
    <row r="55" spans="1:1" ht="21" x14ac:dyDescent="0.25">
      <c r="A55" s="39"/>
    </row>
    <row r="56" spans="1:1" ht="63" x14ac:dyDescent="0.25">
      <c r="A56" s="158" t="s">
        <v>770</v>
      </c>
    </row>
    <row r="57" spans="1:1" ht="21" x14ac:dyDescent="0.25">
      <c r="A57" s="39"/>
    </row>
    <row r="58" spans="1:1" ht="63" x14ac:dyDescent="0.25">
      <c r="A58" s="158" t="s">
        <v>771</v>
      </c>
    </row>
    <row r="59" spans="1:1" ht="31.5" x14ac:dyDescent="0.25">
      <c r="A59" s="158" t="s">
        <v>491</v>
      </c>
    </row>
    <row r="60" spans="1:1" ht="15.75" x14ac:dyDescent="0.25">
      <c r="A60" s="158" t="s">
        <v>492</v>
      </c>
    </row>
    <row r="61" spans="1:1" ht="15.75" x14ac:dyDescent="0.25">
      <c r="A61" s="158" t="s">
        <v>350</v>
      </c>
    </row>
    <row r="62" spans="1:1" ht="15.75" x14ac:dyDescent="0.25">
      <c r="A62" s="158" t="s">
        <v>401</v>
      </c>
    </row>
    <row r="63" spans="1:1" ht="15.75" x14ac:dyDescent="0.25">
      <c r="A63" s="158" t="s">
        <v>329</v>
      </c>
    </row>
    <row r="64" spans="1:1" ht="15.75" x14ac:dyDescent="0.25">
      <c r="A64" s="158" t="s">
        <v>351</v>
      </c>
    </row>
    <row r="65" spans="1:1" ht="15.75" x14ac:dyDescent="0.25">
      <c r="A65" s="158" t="s">
        <v>330</v>
      </c>
    </row>
    <row r="66" spans="1:1" ht="21" x14ac:dyDescent="0.25">
      <c r="A66" s="39"/>
    </row>
    <row r="67" spans="1:1" ht="157.5" x14ac:dyDescent="0.25">
      <c r="A67" s="158" t="s">
        <v>493</v>
      </c>
    </row>
    <row r="68" spans="1:1" s="11" customFormat="1" ht="31.5" x14ac:dyDescent="0.25">
      <c r="A68" s="158" t="s">
        <v>839</v>
      </c>
    </row>
    <row r="69" spans="1:1" ht="141.75" x14ac:dyDescent="0.25">
      <c r="A69" s="159" t="s">
        <v>796</v>
      </c>
    </row>
    <row r="70" spans="1:1" ht="31.5" x14ac:dyDescent="0.25">
      <c r="A70" s="158" t="s">
        <v>850</v>
      </c>
    </row>
    <row r="71" spans="1:1" ht="15.75" x14ac:dyDescent="0.25">
      <c r="A71" s="158" t="s">
        <v>326</v>
      </c>
    </row>
    <row r="72" spans="1:1" ht="15.75" x14ac:dyDescent="0.25">
      <c r="A72" s="158" t="s">
        <v>494</v>
      </c>
    </row>
    <row r="73" spans="1:1" ht="15.75" x14ac:dyDescent="0.25">
      <c r="A73" s="158" t="s">
        <v>327</v>
      </c>
    </row>
    <row r="74" spans="1:1" ht="94.5" x14ac:dyDescent="0.25">
      <c r="A74" s="158" t="s">
        <v>797</v>
      </c>
    </row>
    <row r="75" spans="1:1" ht="204.75" x14ac:dyDescent="0.25">
      <c r="A75" s="158" t="s">
        <v>798</v>
      </c>
    </row>
    <row r="76" spans="1:1" ht="141.75" x14ac:dyDescent="0.25">
      <c r="A76" s="158" t="s">
        <v>799</v>
      </c>
    </row>
    <row r="77" spans="1:1" ht="47.25" x14ac:dyDescent="0.25">
      <c r="A77" s="158" t="s">
        <v>495</v>
      </c>
    </row>
    <row r="78" spans="1:1" ht="94.5" x14ac:dyDescent="0.25">
      <c r="A78" s="158" t="s">
        <v>800</v>
      </c>
    </row>
    <row r="79" spans="1:1" s="11" customFormat="1" ht="31.5" x14ac:dyDescent="0.25">
      <c r="A79" s="158" t="s">
        <v>851</v>
      </c>
    </row>
    <row r="80" spans="1:1" s="11" customFormat="1" ht="15.75" x14ac:dyDescent="0.25">
      <c r="A80" s="158" t="s">
        <v>801</v>
      </c>
    </row>
    <row r="81" spans="1:1" s="11" customFormat="1" ht="15.75" x14ac:dyDescent="0.25">
      <c r="A81" s="159" t="s">
        <v>802</v>
      </c>
    </row>
    <row r="82" spans="1:1" s="11" customFormat="1" ht="15.75" x14ac:dyDescent="0.25">
      <c r="A82" s="158" t="s">
        <v>803</v>
      </c>
    </row>
    <row r="83" spans="1:1" ht="32.25" customHeight="1" x14ac:dyDescent="0.25">
      <c r="A83" s="158" t="s">
        <v>804</v>
      </c>
    </row>
    <row r="84" spans="1:1" ht="15.75" customHeight="1" x14ac:dyDescent="0.25">
      <c r="A84" s="158" t="s">
        <v>496</v>
      </c>
    </row>
    <row r="85" spans="1:1" ht="21" customHeight="1" x14ac:dyDescent="0.25">
      <c r="A85" s="530" t="s">
        <v>497</v>
      </c>
    </row>
    <row r="86" spans="1:1" ht="21" customHeight="1" x14ac:dyDescent="0.25">
      <c r="A86" s="530" t="s">
        <v>498</v>
      </c>
    </row>
    <row r="87" spans="1:1" ht="69.75" customHeight="1" x14ac:dyDescent="0.25">
      <c r="A87" s="531" t="s">
        <v>805</v>
      </c>
    </row>
    <row r="88" spans="1:1" ht="25.5" customHeight="1" x14ac:dyDescent="0.25">
      <c r="A88" s="532" t="s">
        <v>499</v>
      </c>
    </row>
    <row r="89" spans="1:1" ht="16.5" customHeight="1" x14ac:dyDescent="0.25">
      <c r="A89" s="543" t="s">
        <v>500</v>
      </c>
    </row>
    <row r="90" spans="1:1" ht="21" x14ac:dyDescent="0.25">
      <c r="A90" s="39"/>
    </row>
    <row r="91" spans="1:1" ht="47.25" x14ac:dyDescent="0.25">
      <c r="A91" s="535" t="s">
        <v>806</v>
      </c>
    </row>
    <row r="92" spans="1:1" ht="21" x14ac:dyDescent="0.25">
      <c r="A92" s="544"/>
    </row>
    <row r="93" spans="1:1" ht="21.75" thickBot="1" x14ac:dyDescent="0.3">
      <c r="A93" s="545"/>
    </row>
    <row r="94" spans="1:1" ht="21" x14ac:dyDescent="0.25">
      <c r="A94" s="546"/>
    </row>
    <row r="95" spans="1:1" ht="94.5" x14ac:dyDescent="0.25">
      <c r="A95" s="537" t="s">
        <v>807</v>
      </c>
    </row>
    <row r="96" spans="1:1" ht="25.35" customHeight="1" x14ac:dyDescent="0.25">
      <c r="A96" s="158"/>
    </row>
    <row r="97" spans="1:1" ht="15.75" x14ac:dyDescent="0.25">
      <c r="A97" s="158" t="s">
        <v>808</v>
      </c>
    </row>
    <row r="98" spans="1:1" ht="15.75" x14ac:dyDescent="0.25">
      <c r="A98" s="158" t="s">
        <v>328</v>
      </c>
    </row>
    <row r="99" spans="1:1" ht="15.75" x14ac:dyDescent="0.25">
      <c r="A99" s="158" t="s">
        <v>317</v>
      </c>
    </row>
    <row r="100" spans="1:1" ht="15.75" x14ac:dyDescent="0.25">
      <c r="A100" s="158" t="s">
        <v>318</v>
      </c>
    </row>
    <row r="101" spans="1:1" ht="15.75" x14ac:dyDescent="0.25">
      <c r="A101" s="158" t="s">
        <v>319</v>
      </c>
    </row>
    <row r="102" spans="1:1" ht="15.75" x14ac:dyDescent="0.25">
      <c r="A102" s="158" t="s">
        <v>320</v>
      </c>
    </row>
    <row r="103" spans="1:1" ht="63" x14ac:dyDescent="0.25">
      <c r="A103" s="158" t="s">
        <v>501</v>
      </c>
    </row>
    <row r="104" spans="1:1" ht="173.25" x14ac:dyDescent="0.25">
      <c r="A104" s="158" t="s">
        <v>502</v>
      </c>
    </row>
    <row r="105" spans="1:1" ht="63" x14ac:dyDescent="0.25">
      <c r="A105" s="578" t="s">
        <v>852</v>
      </c>
    </row>
    <row r="106" spans="1:1" ht="78.75" x14ac:dyDescent="0.25">
      <c r="A106" s="158" t="s">
        <v>503</v>
      </c>
    </row>
    <row r="107" spans="1:1" ht="78" customHeight="1" thickBot="1" x14ac:dyDescent="0.3">
      <c r="A107" s="158" t="s">
        <v>809</v>
      </c>
    </row>
    <row r="108" spans="1:1" ht="16.5" thickBot="1" x14ac:dyDescent="0.3">
      <c r="A108" s="410" t="s">
        <v>853</v>
      </c>
    </row>
    <row r="109" spans="1:1" ht="38.25" customHeight="1" x14ac:dyDescent="0.25">
      <c r="A109" s="563" t="s">
        <v>810</v>
      </c>
    </row>
    <row r="110" spans="1:1" ht="17.25" customHeight="1" x14ac:dyDescent="0.25">
      <c r="A110" s="564" t="s">
        <v>811</v>
      </c>
    </row>
    <row r="111" spans="1:1" ht="40.5" customHeight="1" x14ac:dyDescent="0.25">
      <c r="A111" s="564" t="s">
        <v>812</v>
      </c>
    </row>
    <row r="112" spans="1:1" x14ac:dyDescent="0.25">
      <c r="A112" s="565" t="s">
        <v>813</v>
      </c>
    </row>
    <row r="113" spans="1:1" x14ac:dyDescent="0.25">
      <c r="A113" s="566" t="s">
        <v>814</v>
      </c>
    </row>
    <row r="114" spans="1:1" ht="42" customHeight="1" x14ac:dyDescent="0.25">
      <c r="A114" s="567" t="s">
        <v>815</v>
      </c>
    </row>
    <row r="115" spans="1:1" ht="66.75" customHeight="1" thickBot="1" x14ac:dyDescent="0.3">
      <c r="A115" s="568" t="s">
        <v>816</v>
      </c>
    </row>
    <row r="116" spans="1:1" ht="31.5" customHeight="1" thickBot="1" x14ac:dyDescent="0.3">
      <c r="A116" s="562" t="s">
        <v>817</v>
      </c>
    </row>
    <row r="117" spans="1:1" ht="32.25" customHeight="1" thickBot="1" x14ac:dyDescent="0.3">
      <c r="A117" s="569" t="s">
        <v>818</v>
      </c>
    </row>
    <row r="118" spans="1:1" ht="38.25" customHeight="1" x14ac:dyDescent="0.25">
      <c r="A118" s="558"/>
    </row>
    <row r="119" spans="1:1" ht="78.75" x14ac:dyDescent="0.25">
      <c r="A119" s="547" t="s">
        <v>854</v>
      </c>
    </row>
    <row r="120" spans="1:1" ht="110.25" x14ac:dyDescent="0.25">
      <c r="A120" s="535" t="s">
        <v>772</v>
      </c>
    </row>
    <row r="121" spans="1:1" ht="15.75" x14ac:dyDescent="0.25">
      <c r="A121" s="548"/>
    </row>
    <row r="122" spans="1:1" ht="15.75" x14ac:dyDescent="0.25">
      <c r="A122" s="549" t="s">
        <v>819</v>
      </c>
    </row>
    <row r="123" spans="1:1" ht="15.75" thickBot="1" x14ac:dyDescent="0.3">
      <c r="A123" s="550" t="s">
        <v>352</v>
      </c>
    </row>
    <row r="124" spans="1:1" ht="15.75" thickBot="1" x14ac:dyDescent="0.3">
      <c r="A124" s="551" t="s">
        <v>353</v>
      </c>
    </row>
    <row r="125" spans="1:1" ht="15.75" thickBot="1" x14ac:dyDescent="0.3">
      <c r="A125" s="551" t="s">
        <v>354</v>
      </c>
    </row>
    <row r="126" spans="1:1" ht="15.75" thickBot="1" x14ac:dyDescent="0.3">
      <c r="A126" s="570" t="s">
        <v>355</v>
      </c>
    </row>
    <row r="127" spans="1:1" ht="15.75" thickBot="1" x14ac:dyDescent="0.3">
      <c r="A127" s="551" t="s">
        <v>820</v>
      </c>
    </row>
    <row r="128" spans="1:1" ht="15.75" thickBot="1" x14ac:dyDescent="0.3">
      <c r="A128" s="550" t="s">
        <v>821</v>
      </c>
    </row>
    <row r="129" spans="1:1" ht="15.75" thickBot="1" x14ac:dyDescent="0.3">
      <c r="A129" s="551" t="s">
        <v>356</v>
      </c>
    </row>
    <row r="130" spans="1:1" ht="15.75" thickBot="1" x14ac:dyDescent="0.3">
      <c r="A130" s="551" t="s">
        <v>357</v>
      </c>
    </row>
    <row r="131" spans="1:1" ht="15.75" thickBot="1" x14ac:dyDescent="0.3">
      <c r="A131" s="550" t="s">
        <v>822</v>
      </c>
    </row>
    <row r="132" spans="1:1" ht="15.75" thickBot="1" x14ac:dyDescent="0.3">
      <c r="A132" s="551" t="s">
        <v>358</v>
      </c>
    </row>
    <row r="133" spans="1:1" ht="15.75" thickBot="1" x14ac:dyDescent="0.3">
      <c r="A133" s="551" t="s">
        <v>359</v>
      </c>
    </row>
    <row r="134" spans="1:1" ht="15.75" thickBot="1" x14ac:dyDescent="0.3">
      <c r="A134" s="551" t="s">
        <v>360</v>
      </c>
    </row>
    <row r="135" spans="1:1" ht="15.75" thickBot="1" x14ac:dyDescent="0.3">
      <c r="A135" s="551" t="s">
        <v>361</v>
      </c>
    </row>
    <row r="136" spans="1:1" ht="15.75" thickBot="1" x14ac:dyDescent="0.3">
      <c r="A136" s="551" t="s">
        <v>357</v>
      </c>
    </row>
    <row r="137" spans="1:1" ht="15.75" thickBot="1" x14ac:dyDescent="0.3">
      <c r="A137" s="550" t="s">
        <v>823</v>
      </c>
    </row>
    <row r="138" spans="1:1" ht="15.75" thickBot="1" x14ac:dyDescent="0.3">
      <c r="A138" s="551" t="s">
        <v>441</v>
      </c>
    </row>
    <row r="139" spans="1:1" ht="15.75" thickBot="1" x14ac:dyDescent="0.3">
      <c r="A139" s="551" t="s">
        <v>362</v>
      </c>
    </row>
    <row r="140" spans="1:1" ht="15.75" thickBot="1" x14ac:dyDescent="0.3">
      <c r="A140" s="551" t="s">
        <v>363</v>
      </c>
    </row>
    <row r="141" spans="1:1" ht="15.75" thickBot="1" x14ac:dyDescent="0.3">
      <c r="A141" s="551" t="s">
        <v>364</v>
      </c>
    </row>
    <row r="142" spans="1:1" ht="15.75" thickBot="1" x14ac:dyDescent="0.3">
      <c r="A142" s="551" t="s">
        <v>365</v>
      </c>
    </row>
    <row r="143" spans="1:1" ht="15.75" thickBot="1" x14ac:dyDescent="0.3">
      <c r="A143" s="551" t="s">
        <v>366</v>
      </c>
    </row>
    <row r="144" spans="1:1" ht="15.75" thickBot="1" x14ac:dyDescent="0.3">
      <c r="A144" s="551" t="s">
        <v>367</v>
      </c>
    </row>
    <row r="145" spans="1:1" ht="15.75" thickBot="1" x14ac:dyDescent="0.3">
      <c r="A145" s="551" t="s">
        <v>368</v>
      </c>
    </row>
    <row r="146" spans="1:1" ht="30.75" thickBot="1" x14ac:dyDescent="0.3">
      <c r="A146" s="550" t="s">
        <v>399</v>
      </c>
    </row>
    <row r="147" spans="1:1" ht="15.75" thickBot="1" x14ac:dyDescent="0.3">
      <c r="A147" s="551" t="s">
        <v>369</v>
      </c>
    </row>
    <row r="148" spans="1:1" ht="15.75" thickBot="1" x14ac:dyDescent="0.3">
      <c r="A148" s="551" t="s">
        <v>362</v>
      </c>
    </row>
    <row r="149" spans="1:1" ht="15.75" thickBot="1" x14ac:dyDescent="0.3">
      <c r="A149" s="551" t="s">
        <v>370</v>
      </c>
    </row>
    <row r="150" spans="1:1" ht="15.75" thickBot="1" x14ac:dyDescent="0.3">
      <c r="A150" s="551" t="s">
        <v>371</v>
      </c>
    </row>
    <row r="151" spans="1:1" ht="15.75" thickBot="1" x14ac:dyDescent="0.3">
      <c r="A151" s="551" t="s">
        <v>372</v>
      </c>
    </row>
    <row r="152" spans="1:1" ht="15.75" thickBot="1" x14ac:dyDescent="0.3">
      <c r="A152" s="551" t="s">
        <v>373</v>
      </c>
    </row>
    <row r="153" spans="1:1" ht="15.75" thickBot="1" x14ac:dyDescent="0.3">
      <c r="A153" s="551" t="s">
        <v>374</v>
      </c>
    </row>
    <row r="154" spans="1:1" ht="15.75" thickBot="1" x14ac:dyDescent="0.3">
      <c r="A154" s="550" t="s">
        <v>400</v>
      </c>
    </row>
    <row r="155" spans="1:1" ht="15.75" thickBot="1" x14ac:dyDescent="0.3">
      <c r="A155" s="551" t="s">
        <v>375</v>
      </c>
    </row>
    <row r="156" spans="1:1" ht="15.75" thickBot="1" x14ac:dyDescent="0.3">
      <c r="A156" s="551" t="s">
        <v>376</v>
      </c>
    </row>
    <row r="157" spans="1:1" ht="15.75" thickBot="1" x14ac:dyDescent="0.3">
      <c r="A157" s="551" t="s">
        <v>377</v>
      </c>
    </row>
    <row r="158" spans="1:1" ht="45.75" thickBot="1" x14ac:dyDescent="0.3">
      <c r="A158" s="550" t="s">
        <v>824</v>
      </c>
    </row>
    <row r="159" spans="1:1" ht="15.75" thickBot="1" x14ac:dyDescent="0.3">
      <c r="A159" s="551" t="s">
        <v>378</v>
      </c>
    </row>
    <row r="160" spans="1:1" ht="15.75" thickBot="1" x14ac:dyDescent="0.3">
      <c r="A160" s="551" t="s">
        <v>379</v>
      </c>
    </row>
    <row r="161" spans="1:1" ht="15.75" thickBot="1" x14ac:dyDescent="0.3">
      <c r="A161" s="551" t="s">
        <v>380</v>
      </c>
    </row>
    <row r="162" spans="1:1" ht="15.75" thickBot="1" x14ac:dyDescent="0.3">
      <c r="A162" s="551" t="s">
        <v>381</v>
      </c>
    </row>
    <row r="163" spans="1:1" ht="15.75" thickBot="1" x14ac:dyDescent="0.3">
      <c r="A163" s="551" t="s">
        <v>382</v>
      </c>
    </row>
    <row r="164" spans="1:1" ht="15.75" thickBot="1" x14ac:dyDescent="0.3">
      <c r="A164" s="551" t="s">
        <v>383</v>
      </c>
    </row>
    <row r="165" spans="1:1" ht="15.75" x14ac:dyDescent="0.25">
      <c r="A165" s="552"/>
    </row>
  </sheetData>
  <mergeCells count="1">
    <mergeCell ref="A5:A7"/>
  </mergeCells>
  <pageMargins left="0.7" right="0.7" top="0.75" bottom="0.75" header="0.3" footer="0.3"/>
  <pageSetup scale="8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H9"/>
  <sheetViews>
    <sheetView zoomScale="85" zoomScaleNormal="85" workbookViewId="0">
      <pane xSplit="3" ySplit="3" topLeftCell="D7" activePane="bottomRight" state="frozen"/>
      <selection pane="topRight" activeCell="C1" sqref="C1"/>
      <selection pane="bottomLeft" activeCell="A4" sqref="A4"/>
      <selection pane="bottomRight" activeCell="A7" sqref="A7"/>
    </sheetView>
  </sheetViews>
  <sheetFormatPr defaultColWidth="32.42578125" defaultRowHeight="15.75" x14ac:dyDescent="0.25"/>
  <cols>
    <col min="1" max="1" width="15.5703125" style="11" customWidth="1"/>
    <col min="2" max="2" width="129" style="11" customWidth="1"/>
    <col min="3" max="3" width="44.140625" style="189" customWidth="1"/>
    <col min="4" max="7" width="32.42578125" style="189"/>
    <col min="8" max="16384" width="32.42578125" style="11"/>
  </cols>
  <sheetData>
    <row r="1" spans="1:8" ht="21.75" thickBot="1" x14ac:dyDescent="0.4">
      <c r="A1" s="461"/>
      <c r="B1" s="106">
        <f>'SFA PROCUREMENT TABLE'!$A$1</f>
        <v>0</v>
      </c>
      <c r="C1" s="262"/>
      <c r="D1" s="404"/>
      <c r="E1" s="403"/>
      <c r="F1" s="403"/>
      <c r="G1" s="403"/>
      <c r="H1" s="403"/>
    </row>
    <row r="2" spans="1:8" ht="19.5" thickBot="1" x14ac:dyDescent="0.35">
      <c r="A2" s="462" t="s">
        <v>484</v>
      </c>
      <c r="B2" s="451" t="str">
        <f>IF('SFA PROCUREMENT TABLE'!$G$47 = 0, "", "Micro Purchase Procedures Review Worksheet ($10,000 or below)")</f>
        <v>Micro Purchase Procedures Review Worksheet ($10,000 or below)</v>
      </c>
      <c r="C2" s="311"/>
      <c r="D2" s="404"/>
      <c r="E2" s="403"/>
      <c r="F2" s="403"/>
      <c r="G2" s="403"/>
      <c r="H2" s="403"/>
    </row>
    <row r="3" spans="1:8" ht="99.75" customHeight="1" thickBot="1" x14ac:dyDescent="0.3">
      <c r="A3" s="463"/>
      <c r="B3" s="429" t="s">
        <v>774</v>
      </c>
      <c r="C3" s="406" t="str">
        <f>IF('SFA PROCUREMENT TABLE'!$G$47 = 0, "SKIP - NO MICROPURCHASES SELECTED FOR REVIEW","COMPLIANT/NONCOMPLIANT")</f>
        <v>COMPLIANT/NONCOMPLIANT</v>
      </c>
      <c r="D3" s="405" t="str">
        <f>IF('SFA PROCUREMENT TABLE'!$G$47 = 0, "SKIP - NO MICROPURCHASES SELECTED FOR REVIEW", IF('SFA PROCUREMENT TABLE'!$G$47 &gt; 0, "Noncompliant Party", ""))</f>
        <v>Noncompliant Party</v>
      </c>
      <c r="E3" s="402" t="str">
        <f>IF('SFA PROCUREMENT TABLE'!$G$47 = 0, "SKIP - NO MICROPURCHASES SELECTED FOR REVIEW","Noncompliant Party")</f>
        <v>Noncompliant Party</v>
      </c>
      <c r="F3" s="402" t="str">
        <f>IF('SFA PROCUREMENT TABLE'!$G$47 = 0, "SKIP - NO MICROPURCHASES SELECTED FOR REVIEW", IF('SFA PROCUREMENT TABLE'!$G$47 &gt; 2, "Noncompliant Party", ""))</f>
        <v/>
      </c>
      <c r="G3" s="402" t="str">
        <f>IF('SFA PROCUREMENT TABLE'!$G$47 = 0, "SKIP - NO MICROPURCHASES SELECTED FOR REVIEW", IF('SFA PROCUREMENT TABLE'!$G$47 &gt; 3, "Noncompliant Party", ""))</f>
        <v/>
      </c>
      <c r="H3" s="402" t="s">
        <v>38</v>
      </c>
    </row>
    <row r="4" spans="1:8" s="107" customFormat="1" ht="39.75" customHeight="1" thickBot="1" x14ac:dyDescent="0.3">
      <c r="A4" s="465"/>
      <c r="B4" s="452" t="str">
        <f>IF('SFA PROCUREMENT TABLE'!$G$47 = 0, "","1) Based on a review of invoices/receipts, is the SFA compliant with having each vendor transaction below $10,000? [2 CFR 200.320(a)] ")</f>
        <v xml:space="preserve">1) Based on a review of invoices/receipts, is the SFA compliant with having each vendor transaction below $10,000? [2 CFR 200.320(a)] </v>
      </c>
      <c r="C4" s="274"/>
      <c r="D4" s="114" t="s">
        <v>531</v>
      </c>
      <c r="E4" s="114" t="s">
        <v>531</v>
      </c>
      <c r="F4" s="114"/>
      <c r="G4" s="114"/>
      <c r="H4" s="395" t="str">
        <f>IF(C4 = "non-compliant", "COMMENT REQUIRED", "")</f>
        <v/>
      </c>
    </row>
    <row r="5" spans="1:8" s="107" customFormat="1" ht="45" customHeight="1" thickBot="1" x14ac:dyDescent="0.3">
      <c r="A5" s="466"/>
      <c r="B5" s="452" t="str">
        <f>IF('SFA PROCUREMENT TABLE'!$G$47 = 0, "","2) If the SFA paid a membership to a club warehouse, third-party entity, etc., are the purchases made from this entity necessary, reasonable, and equitably distributed among qualified sources/vendors?")</f>
        <v>2) If the SFA paid a membership to a club warehouse, third-party entity, etc., are the purchases made from this entity necessary, reasonable, and equitably distributed among qualified sources/vendors?</v>
      </c>
      <c r="C5" s="274"/>
      <c r="D5" s="114" t="s">
        <v>531</v>
      </c>
      <c r="E5" s="114" t="s">
        <v>531</v>
      </c>
      <c r="F5" s="114"/>
      <c r="G5" s="114"/>
      <c r="H5" s="395" t="str">
        <f t="shared" ref="H5:H8" si="0">IF(C5 = "non-compliant", "COMMENT REQUIRED", "")</f>
        <v/>
      </c>
    </row>
    <row r="6" spans="1:8" s="107" customFormat="1" ht="45.6" customHeight="1" thickBot="1" x14ac:dyDescent="0.3">
      <c r="A6" s="465"/>
      <c r="B6" s="453" t="str">
        <f>IF('SFA PROCUREMENT TABLE'!$G$47 = 0, "","3) Based on a review of invoices/receipts, is the SFA compliant with distributing purchases equitably among all qualified sources?  [2 CFR 200.320(a)]")</f>
        <v>3) Based on a review of invoices/receipts, is the SFA compliant with distributing purchases equitably among all qualified sources?  [2 CFR 200.320(a)]</v>
      </c>
      <c r="C6" s="274"/>
      <c r="D6" s="114"/>
      <c r="E6" s="114"/>
      <c r="F6" s="114"/>
      <c r="G6" s="114"/>
      <c r="H6" s="395" t="str">
        <f t="shared" si="0"/>
        <v/>
      </c>
    </row>
    <row r="7" spans="1:8" s="107" customFormat="1" ht="74.25" customHeight="1" thickBot="1" x14ac:dyDescent="0.3">
      <c r="A7" s="458" t="s">
        <v>946</v>
      </c>
      <c r="B7" s="454" t="str">
        <f>IF('SFA PROCUREMENT TABLE'!$G$47 = 0, "","4) If the SFA paid a membership to a club warehouse, third-party entity, etc., are the purchases made from this entity necessary, reasonable, and equitably distributed among other qualified sources/vendors? ")</f>
        <v xml:space="preserve">4) If the SFA paid a membership to a club warehouse, third-party entity, etc., are the purchases made from this entity necessary, reasonable, and equitably distributed among other qualified sources/vendors? </v>
      </c>
      <c r="C7" s="274"/>
      <c r="D7" s="114"/>
      <c r="E7" s="114"/>
      <c r="F7" s="114"/>
      <c r="G7" s="114"/>
      <c r="H7" s="395" t="str">
        <f t="shared" si="0"/>
        <v/>
      </c>
    </row>
    <row r="8" spans="1:8" s="107" customFormat="1" ht="48.75" customHeight="1" thickBot="1" x14ac:dyDescent="0.3">
      <c r="A8" s="459" t="s">
        <v>480</v>
      </c>
      <c r="B8" s="455" t="str">
        <f>IF('SFA PROCUREMENT TABLE'!$G$47 = 0, "","5) Is the SFA compliant with maintaining records sufficient to detail the significant history of the procurement? [2 CFR 200.318(i)]")</f>
        <v>5) Is the SFA compliant with maintaining records sufficient to detail the significant history of the procurement? [2 CFR 200.318(i)]</v>
      </c>
      <c r="C8" s="274"/>
      <c r="D8" s="114"/>
      <c r="E8" s="114"/>
      <c r="F8" s="114"/>
      <c r="G8" s="114"/>
      <c r="H8" s="395" t="str">
        <f t="shared" si="0"/>
        <v/>
      </c>
    </row>
    <row r="9" spans="1:8" s="107" customFormat="1" ht="36.6" customHeight="1" thickBot="1" x14ac:dyDescent="0.3">
      <c r="A9" s="460"/>
      <c r="B9" s="456" t="str">
        <f>IF('SFA PROCUREMENT TABLE'!$G$47 = 0, "","ADDITIONAL COMMENTS:")</f>
        <v>ADDITIONAL COMMENTS:</v>
      </c>
      <c r="C9" s="258"/>
      <c r="D9" s="259"/>
      <c r="E9" s="259"/>
      <c r="F9" s="259"/>
      <c r="G9" s="259"/>
      <c r="H9" s="116"/>
    </row>
  </sheetData>
  <pageMargins left="0.7" right="0.7" top="0.75" bottom="0.75" header="0.3" footer="0.3"/>
  <pageSetup scale="37"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Selection!$A$2:$A$6</xm:f>
          </x14:formula1>
          <xm:sqref>D4:G8</xm:sqref>
        </x14:dataValidation>
        <x14:dataValidation type="list" allowBlank="1" showInputMessage="1" showErrorMessage="1" xr:uid="{00000000-0002-0000-0900-000001000000}">
          <x14:formula1>
            <xm:f>'Data sets '!$A$220:$A$222</xm:f>
          </x14:formula1>
          <xm:sqref>C5:C8 C4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rgb="FF92D050"/>
    <pageSetUpPr fitToPage="1"/>
  </sheetPr>
  <dimension ref="A1:AB51"/>
  <sheetViews>
    <sheetView zoomScale="85" zoomScaleNormal="85" workbookViewId="0">
      <pane xSplit="3" ySplit="5" topLeftCell="D15" activePane="bottomRight" state="frozen"/>
      <selection pane="topRight" activeCell="C1" sqref="C1"/>
      <selection pane="bottomLeft" activeCell="A6" sqref="A6"/>
      <selection pane="bottomRight" activeCell="B17" sqref="B17"/>
    </sheetView>
  </sheetViews>
  <sheetFormatPr defaultColWidth="31" defaultRowHeight="15.75" x14ac:dyDescent="0.25"/>
  <cols>
    <col min="1" max="1" width="14.7109375" style="11" bestFit="1" customWidth="1"/>
    <col min="2" max="2" width="108.42578125" style="4" customWidth="1"/>
    <col min="3" max="3" width="28.42578125" style="147" customWidth="1"/>
    <col min="4" max="4" width="25.28515625" style="147" customWidth="1"/>
    <col min="5" max="5" width="24.140625" style="147" customWidth="1"/>
    <col min="6" max="6" width="23.140625" style="147" customWidth="1"/>
    <col min="7" max="7" width="22.7109375" style="147" customWidth="1"/>
    <col min="8" max="8" width="23.42578125" style="147" customWidth="1"/>
    <col min="9" max="15" width="31" style="1"/>
    <col min="16" max="16384" width="31" style="11"/>
  </cols>
  <sheetData>
    <row r="1" spans="1:28" ht="18.75" x14ac:dyDescent="0.3">
      <c r="B1" s="280">
        <f>IF('SFA PROCUREMENT TABLE'!$I$69 = 0, "SKIP - NO SMALL PURCHASES SELECTED FOR REVIEW", 'SFA PROCUREMENT TABLE'!$A$1:$D$1)</f>
        <v>0</v>
      </c>
      <c r="C1" s="262"/>
      <c r="D1" s="705" t="str">
        <f>IF('SFA PROCUREMENT TABLE'!$I$69=0,"SKIP - NO SMALL PURCHASES SELECTED FOR REVIEW",IF('SFA PROCUREMENT TABLE'!$I$69&gt;0,"Noncompliant Party", ""))</f>
        <v>Noncompliant Party</v>
      </c>
      <c r="E1" s="708" t="str">
        <f>IF('SFA PROCUREMENT TABLE'!$I$69=0,"SKIP - NO SMALL PURCHASES SELECTED FOR REVIEW",IF('SFA PROCUREMENT TABLE'!$I$69&gt;1,"Noncompliant Party", ""))</f>
        <v/>
      </c>
      <c r="F1" s="708" t="str">
        <f>IF('SFA PROCUREMENT TABLE'!$I$69=0,"SKIP - NO SMALL PURCHASES SELECTED FOR REVIEW",IF('SFA PROCUREMENT TABLE'!$I$69&gt;2,"Noncompliant Party", ""))</f>
        <v/>
      </c>
      <c r="G1" s="708" t="str">
        <f>IF('SFA PROCUREMENT TABLE'!$I$69=0,"SKIP - NO SMALL PURCHASES SELECTED FOR REVIEW",IF('SFA PROCUREMENT TABLE'!$I$69&gt;3,"Noncompliant Party", ""))</f>
        <v/>
      </c>
      <c r="H1" s="708" t="str">
        <f>IF('SFA PROCUREMENT TABLE'!$I$69=0,"SKIP - NO SMALL PURCHASES SELECTED FOR REVIEW",IF('SFA PROCUREMENT TABLE'!$I$69&gt;4,"Noncompliant Party", ""))</f>
        <v/>
      </c>
      <c r="I1" s="701" t="s">
        <v>38</v>
      </c>
      <c r="V1" s="1"/>
      <c r="W1" s="1"/>
      <c r="X1" s="1"/>
      <c r="Y1" s="1"/>
      <c r="Z1" s="1"/>
      <c r="AA1" s="1"/>
      <c r="AB1" s="1"/>
    </row>
    <row r="2" spans="1:28" ht="18.75" x14ac:dyDescent="0.3">
      <c r="B2" s="281" t="str">
        <f>IF('SFA PROCUREMENT TABLE'!$I$69 = 0, "", "Small Purchase LEA Threshold                      Small Purchase State Threshold")</f>
        <v>Small Purchase LEA Threshold                      Small Purchase State Threshold</v>
      </c>
      <c r="C2" s="703" t="s">
        <v>349</v>
      </c>
      <c r="D2" s="706"/>
      <c r="E2" s="709"/>
      <c r="F2" s="709"/>
      <c r="G2" s="709"/>
      <c r="H2" s="709"/>
      <c r="I2" s="701"/>
      <c r="V2" s="1"/>
      <c r="W2" s="1"/>
      <c r="X2" s="1"/>
      <c r="Y2" s="1"/>
      <c r="Z2" s="1"/>
      <c r="AA2" s="1"/>
      <c r="AB2" s="1"/>
    </row>
    <row r="3" spans="1:28" x14ac:dyDescent="0.25">
      <c r="B3" s="173" t="str">
        <f>IF('SFA PROCUREMENT TABLE'!$I$69 = 0, "", "$"&amp;'SFA PROCUREMENT TABLE'!$D$16&amp;"                                                                                   "&amp;"$"&amp;'SFA PROCUREMENT TABLE'!$D$17)</f>
        <v>$0                                                                                   $0</v>
      </c>
      <c r="C3" s="703"/>
      <c r="D3" s="706"/>
      <c r="E3" s="709"/>
      <c r="F3" s="709"/>
      <c r="G3" s="709"/>
      <c r="H3" s="709"/>
      <c r="I3" s="701"/>
      <c r="V3" s="1"/>
      <c r="W3" s="1"/>
      <c r="X3" s="1"/>
      <c r="Y3" s="1"/>
      <c r="Z3" s="1"/>
      <c r="AA3" s="1"/>
      <c r="AB3" s="1"/>
    </row>
    <row r="4" spans="1:28" x14ac:dyDescent="0.25">
      <c r="B4" s="174" t="str">
        <f>IF('SFA PROCUREMENT TABLE'!$I$69 = 0, "", "Small Purchase Procedures/Informal Procurement Review Worksheet ")</f>
        <v xml:space="preserve">Small Purchase Procedures/Informal Procurement Review Worksheet </v>
      </c>
      <c r="C4" s="703"/>
      <c r="D4" s="706"/>
      <c r="E4" s="709"/>
      <c r="F4" s="709"/>
      <c r="G4" s="709"/>
      <c r="H4" s="709"/>
      <c r="I4" s="701"/>
      <c r="V4" s="1"/>
      <c r="W4" s="1"/>
      <c r="X4" s="1"/>
      <c r="Y4" s="1"/>
      <c r="Z4" s="1"/>
      <c r="AA4" s="1"/>
      <c r="AB4" s="1"/>
    </row>
    <row r="5" spans="1:28" ht="66.75" customHeight="1" x14ac:dyDescent="0.25">
      <c r="B5" s="175" t="s">
        <v>523</v>
      </c>
      <c r="C5" s="704"/>
      <c r="D5" s="707"/>
      <c r="E5" s="710"/>
      <c r="F5" s="710"/>
      <c r="G5" s="710"/>
      <c r="H5" s="710"/>
      <c r="I5" s="702"/>
      <c r="V5" s="1"/>
      <c r="W5" s="1"/>
      <c r="X5" s="1"/>
      <c r="Y5" s="1"/>
      <c r="Z5" s="1"/>
      <c r="AA5" s="1"/>
      <c r="AB5" s="1"/>
    </row>
    <row r="6" spans="1:28" x14ac:dyDescent="0.25">
      <c r="B6" s="176" t="str">
        <f>IF('SFA PROCUREMENT TABLE'!$I$69 = 0, "", "Solicitation")</f>
        <v>Solicitation</v>
      </c>
      <c r="C6" s="177"/>
      <c r="D6" s="178"/>
      <c r="E6" s="179"/>
      <c r="F6" s="179"/>
      <c r="G6" s="179"/>
      <c r="H6" s="179"/>
      <c r="I6" s="111"/>
      <c r="V6" s="1"/>
      <c r="W6" s="1"/>
      <c r="X6" s="1"/>
      <c r="Y6" s="1"/>
      <c r="Z6" s="1"/>
      <c r="AA6" s="1"/>
      <c r="AB6" s="1"/>
    </row>
    <row r="7" spans="1:28" s="107" customFormat="1" ht="69.75" customHeight="1" x14ac:dyDescent="0.25">
      <c r="A7" s="440" t="s">
        <v>525</v>
      </c>
      <c r="B7" s="190" t="str">
        <f>IF('SFA PROCUREMENT TABLE'!$I$69=0, "","  1) Prior to making a purchase, is the SFA compliant with obtaining price/rate quotes from an adequate # of qualified sources (2 or more) and providing clear and accurate descriptions of goods/services procured?"&amp;" [2 CFR Part 200.319(c)(1), .320(b) (NOTE: A 'no bid' response is not an appropriate bidder response.")</f>
        <v xml:space="preserve">  1) Prior to making a purchase, is the SFA compliant with obtaining price/rate quotes from an adequate # of qualified sources (2 or more) and providing clear and accurate descriptions of goods/services procured? [2 CFR Part 200.319(c)(1), .320(b) (NOTE: A 'no bid' response is not an appropriate bidder response.</v>
      </c>
      <c r="C7" s="274"/>
      <c r="D7" s="134"/>
      <c r="E7" s="134"/>
      <c r="F7" s="134"/>
      <c r="G7" s="134"/>
      <c r="H7" s="134"/>
      <c r="I7" s="128"/>
      <c r="J7" s="93"/>
      <c r="K7" s="93"/>
      <c r="L7" s="93"/>
      <c r="M7" s="93"/>
      <c r="N7" s="93"/>
      <c r="O7" s="93"/>
      <c r="V7" s="93"/>
      <c r="W7" s="93"/>
      <c r="X7" s="93"/>
      <c r="Y7" s="93"/>
      <c r="Z7" s="93"/>
      <c r="AA7" s="93"/>
      <c r="AB7" s="93"/>
    </row>
    <row r="8" spans="1:28" s="107" customFormat="1" ht="63.75" customHeight="1" x14ac:dyDescent="0.25">
      <c r="A8" s="579" t="s">
        <v>525</v>
      </c>
      <c r="B8" s="190" t="str">
        <f>IF('SFA PROCUREMENT TABLE'!$I$69=0, ""," 2) Is the SFA compliant with full and open competition, does not restrict competition?  (NOTE:  Restricting competition includes placing unreasonable requirements,"&amp;" unnecessary experience, or specifying a 'brand name' product (not allowing 'an equal' with performance or relevant requirements.) [2 CFR 200.319(a)]   ")</f>
        <v xml:space="preserve"> 2) Is the SFA compliant with full and open competition, does not restrict competition?  (NOTE:  Restricting competition includes placing unreasonable requirements, unnecessary experience, or specifying a 'brand name' product (not allowing 'an equal' with performance or relevant requirements.) [2 CFR 200.319(a)]   </v>
      </c>
      <c r="C8" s="274"/>
      <c r="D8" s="134" t="str">
        <f t="shared" ref="D8:H9" si="0">IF(AND($C8 = "all are compliant", D$1 = "noncompliant party"), "N/A", "")</f>
        <v/>
      </c>
      <c r="E8" s="134"/>
      <c r="F8" s="134" t="str">
        <f t="shared" si="0"/>
        <v/>
      </c>
      <c r="G8" s="134" t="str">
        <f t="shared" si="0"/>
        <v/>
      </c>
      <c r="H8" s="134" t="str">
        <f t="shared" si="0"/>
        <v/>
      </c>
      <c r="I8" s="128" t="str">
        <f>IF(C8="non-compliant", "COMMENT REQUIRED", "")</f>
        <v/>
      </c>
      <c r="J8" s="93"/>
      <c r="K8" s="93"/>
      <c r="L8" s="93"/>
      <c r="M8" s="93"/>
      <c r="N8" s="93"/>
      <c r="O8" s="93"/>
      <c r="V8" s="93"/>
      <c r="W8" s="93"/>
      <c r="X8" s="93"/>
      <c r="Y8" s="93"/>
      <c r="Z8" s="93"/>
      <c r="AA8" s="93"/>
      <c r="AB8" s="93"/>
    </row>
    <row r="9" spans="1:28" s="107" customFormat="1" ht="80.25" customHeight="1" x14ac:dyDescent="0.25">
      <c r="A9" s="434" t="s">
        <v>524</v>
      </c>
      <c r="B9" s="181" t="str">
        <f>IF('SFA PROCUREMENT TABLE'!$I$69=0, ""," 3) [For food purchases only] Is the SFA compliant with the Buy American provision by requiring vendors to purchase domestic foods? (NOTE:  Domestic foods are foods produced, and processed in the United States "&amp;"substantially using domestic foods having over 51% domestic food components by weight or volume. [7 CFR 210.21 and SP02-2017 and SP 38-2017 Compliance with and Enforcement of the Buy American Provision, June 30, 2017] ")</f>
        <v xml:space="preserve"> 3) [For food purchases only] Is the SFA compliant with the Buy American provision by requiring vendors to purchase domestic foods? (NOTE:  Domestic foods are foods produced, and processed in the United States substantially using domestic foods having over 51% domestic food components by weight or volume. [7 CFR 210.21 and SP02-2017 and SP 38-2017 Compliance with and Enforcement of the Buy American Provision, June 30, 2017] </v>
      </c>
      <c r="C9" s="274"/>
      <c r="D9" s="134"/>
      <c r="E9" s="134" t="str">
        <f t="shared" si="0"/>
        <v/>
      </c>
      <c r="F9" s="134" t="str">
        <f t="shared" si="0"/>
        <v/>
      </c>
      <c r="G9" s="134" t="str">
        <f t="shared" si="0"/>
        <v/>
      </c>
      <c r="H9" s="134" t="str">
        <f t="shared" si="0"/>
        <v/>
      </c>
      <c r="I9" s="128"/>
      <c r="J9" s="93"/>
      <c r="K9" s="93"/>
      <c r="L9" s="93"/>
      <c r="M9" s="93"/>
      <c r="N9" s="93"/>
      <c r="O9" s="93"/>
      <c r="V9" s="93"/>
      <c r="W9" s="93"/>
      <c r="X9" s="93"/>
      <c r="Y9" s="93"/>
      <c r="Z9" s="93"/>
      <c r="AA9" s="93"/>
      <c r="AB9" s="93"/>
    </row>
    <row r="10" spans="1:28" s="107" customFormat="1" ht="31.5" x14ac:dyDescent="0.25">
      <c r="A10" s="434" t="s">
        <v>524</v>
      </c>
      <c r="B10" s="332" t="str">
        <f>IF('SFA PROCUREMENT TABLE'!$I$69=0, "","4) If the SFA uses an agent, is the SFA compliant with procuring the agent services using the applicable procurement standards in 7 CFR 210.21 and 2 CFR 200.320?")</f>
        <v>4) If the SFA uses an agent, is the SFA compliant with procuring the agent services using the applicable procurement standards in 7 CFR 210.21 and 2 CFR 200.320?</v>
      </c>
      <c r="C10" s="274"/>
      <c r="D10" s="134" t="s">
        <v>531</v>
      </c>
      <c r="E10" s="134"/>
      <c r="F10" s="134"/>
      <c r="G10" s="134"/>
      <c r="H10" s="134"/>
      <c r="I10" s="128"/>
      <c r="J10" s="93"/>
      <c r="K10" s="93"/>
      <c r="L10" s="93"/>
      <c r="M10" s="93"/>
      <c r="N10" s="93"/>
      <c r="O10" s="93"/>
      <c r="V10" s="93"/>
      <c r="W10" s="93"/>
      <c r="X10" s="93"/>
      <c r="Y10" s="93"/>
      <c r="Z10" s="93"/>
      <c r="AA10" s="93"/>
      <c r="AB10" s="93"/>
    </row>
    <row r="11" spans="1:28" s="107" customFormat="1" ht="52.5" customHeight="1" x14ac:dyDescent="0.25">
      <c r="A11" s="434" t="s">
        <v>524</v>
      </c>
      <c r="B11" s="332" t="str">
        <f>IF('SFA PROCUREMENT TABLE'!$I$69=0, ""," a) If the SFA purchases using an agent, is the SFA compliant with ensuring the agent complies with using the applicable small purchase procedures?  "&amp;"(NOTE:  review agent's solicitations and contracts, as applicable, and based on Procurement Selection Chart)")</f>
        <v xml:space="preserve"> a) If the SFA purchases using an agent, is the SFA compliant with ensuring the agent complies with using the applicable small purchase procedures?  (NOTE:  review agent's solicitations and contracts, as applicable, and based on Procurement Selection Chart)</v>
      </c>
      <c r="C11" s="274"/>
      <c r="D11" s="134" t="s">
        <v>531</v>
      </c>
      <c r="E11" s="134" t="str">
        <f t="shared" ref="E11:H11" si="1">IF(AND($C11 = "all are compliant", E$1 = "noncompliant party"), "N/A", "")</f>
        <v/>
      </c>
      <c r="F11" s="134" t="str">
        <f t="shared" si="1"/>
        <v/>
      </c>
      <c r="G11" s="134" t="str">
        <f t="shared" si="1"/>
        <v/>
      </c>
      <c r="H11" s="134" t="str">
        <f t="shared" si="1"/>
        <v/>
      </c>
      <c r="I11" s="128"/>
      <c r="J11" s="93"/>
      <c r="K11" s="93"/>
      <c r="L11" s="93"/>
      <c r="M11" s="93"/>
      <c r="N11" s="93"/>
      <c r="O11" s="93"/>
      <c r="V11" s="93"/>
      <c r="W11" s="93"/>
      <c r="X11" s="93"/>
      <c r="Y11" s="93"/>
      <c r="Z11" s="93"/>
      <c r="AA11" s="93"/>
      <c r="AB11" s="93"/>
    </row>
    <row r="12" spans="1:28" s="107" customFormat="1" ht="63.75" customHeight="1" x14ac:dyDescent="0.25">
      <c r="A12" s="434" t="s">
        <v>524</v>
      </c>
      <c r="B12" s="332" t="str">
        <f>IF('SFA PROCUREMENT TABLE'!$I$69=0, "","5)  If the SFA purchases using a third-party entity, is the SFA compliant with using the third party's pricing as one source when soliciting price/rate quotes?  "&amp;"(2 CFR 200.320(b) and SP05-2017, Q&amp;A Purchasing Goods and Services Using Cooperative Agreements, Agents, and Third-Party Service, dated October 19, 2016)")</f>
        <v>5)  If the SFA purchases using a third-party entity, is the SFA compliant with using the third party's pricing as one source when soliciting price/rate quotes?  (2 CFR 200.320(b) and SP05-2017, Q&amp;A Purchasing Goods and Services Using Cooperative Agreements, Agents, and Third-Party Service, dated October 19, 2016)</v>
      </c>
      <c r="C12" s="274"/>
      <c r="D12" s="134" t="str">
        <f>IF(AND($C12 = "all are compliant", D$1 = "noncompliant party"), "N/A", "")</f>
        <v/>
      </c>
      <c r="E12" s="134" t="str">
        <f>IF(AND($C12 = "all are compliant", E$1 = "noncompliant party"), "N/A", "")</f>
        <v/>
      </c>
      <c r="F12" s="134" t="str">
        <f>IF(AND($C12 = "all are compliant", F$1 = "noncompliant party"), "N/A", "")</f>
        <v/>
      </c>
      <c r="G12" s="134"/>
      <c r="H12" s="134" t="str">
        <f>IF(AND($C12 = "all are compliant", H$1 = "noncompliant party"), "N/A", "")</f>
        <v/>
      </c>
      <c r="I12" s="128"/>
      <c r="J12" s="93"/>
      <c r="K12" s="93"/>
      <c r="L12" s="93"/>
      <c r="M12" s="93"/>
      <c r="N12" s="93"/>
      <c r="O12" s="93"/>
      <c r="V12" s="93"/>
      <c r="W12" s="93"/>
      <c r="X12" s="93"/>
      <c r="Y12" s="93"/>
      <c r="Z12" s="93"/>
      <c r="AA12" s="93"/>
      <c r="AB12" s="93"/>
    </row>
    <row r="13" spans="1:28" s="107" customFormat="1" x14ac:dyDescent="0.25">
      <c r="B13" s="121" t="str">
        <f>IF('SFA PROCUREMENT TABLE'!$I$69 = 0, "", "EVALUATION AND AWARD PROCESS FOR SMALL PURCHASE PROCEDURES")</f>
        <v>EVALUATION AND AWARD PROCESS FOR SMALL PURCHASE PROCEDURES</v>
      </c>
      <c r="C13" s="275"/>
      <c r="D13" s="135"/>
      <c r="E13" s="135"/>
      <c r="F13" s="135"/>
      <c r="G13" s="135"/>
      <c r="H13" s="135"/>
      <c r="I13" s="111"/>
      <c r="J13" s="93"/>
      <c r="K13" s="93"/>
      <c r="L13" s="93"/>
      <c r="M13" s="93"/>
      <c r="N13" s="93"/>
      <c r="O13" s="93"/>
      <c r="V13" s="93"/>
      <c r="W13" s="93"/>
      <c r="X13" s="93"/>
      <c r="Y13" s="93"/>
      <c r="Z13" s="93"/>
      <c r="AA13" s="93"/>
      <c r="AB13" s="93"/>
    </row>
    <row r="14" spans="1:28" s="107" customFormat="1" ht="31.5" x14ac:dyDescent="0.25">
      <c r="A14" s="467"/>
      <c r="B14" s="190" t="str">
        <f>IF('SFA PROCUREMENT TABLE'!$I$69=0, "","6) Is the SFA compliant with maintaining records sufficient to detail the procurement history? [2 CFR 200.318(i)] (Solicitations/responses, evaluations for award, invoices, etc.)")</f>
        <v>6) Is the SFA compliant with maintaining records sufficient to detail the procurement history? [2 CFR 200.318(i)] (Solicitations/responses, evaluations for award, invoices, etc.)</v>
      </c>
      <c r="C14" s="274"/>
      <c r="D14" s="134" t="str">
        <f t="shared" ref="D14:H15" si="2">IF(AND($C14 = "all are compliant", D$1 = "noncompliant party"), "N/A", "")</f>
        <v/>
      </c>
      <c r="E14" s="134" t="str">
        <f t="shared" si="2"/>
        <v/>
      </c>
      <c r="F14" s="134" t="str">
        <f t="shared" si="2"/>
        <v/>
      </c>
      <c r="G14" s="134" t="str">
        <f t="shared" si="2"/>
        <v/>
      </c>
      <c r="H14" s="134" t="str">
        <f t="shared" si="2"/>
        <v/>
      </c>
      <c r="I14" s="128"/>
      <c r="J14" s="93"/>
      <c r="K14" s="93"/>
      <c r="L14" s="93"/>
      <c r="M14" s="93"/>
      <c r="N14" s="93"/>
      <c r="O14" s="93"/>
      <c r="V14" s="93"/>
      <c r="W14" s="93"/>
      <c r="X14" s="93"/>
      <c r="Y14" s="93"/>
      <c r="Z14" s="93"/>
      <c r="AA14" s="93"/>
      <c r="AB14" s="93"/>
    </row>
    <row r="15" spans="1:28" s="107" customFormat="1" ht="40.5" customHeight="1" x14ac:dyDescent="0.25">
      <c r="B15" s="108" t="str">
        <f>IF('SFA PROCUREMENT TABLE'!$I$69=0, "","7) Is the SFA compliant with bid evaluation based on the evaluation published, products/services requested, and the vendor responses provided? [2 CFR 200.320(b)]")</f>
        <v>7) Is the SFA compliant with bid evaluation based on the evaluation published, products/services requested, and the vendor responses provided? [2 CFR 200.320(b)]</v>
      </c>
      <c r="C15" s="274"/>
      <c r="D15" s="134"/>
      <c r="E15" s="134" t="str">
        <f t="shared" si="2"/>
        <v/>
      </c>
      <c r="F15" s="134" t="str">
        <f t="shared" si="2"/>
        <v/>
      </c>
      <c r="G15" s="134" t="str">
        <f t="shared" si="2"/>
        <v/>
      </c>
      <c r="H15" s="134" t="str">
        <f t="shared" si="2"/>
        <v/>
      </c>
      <c r="I15" s="128"/>
      <c r="J15" s="93"/>
      <c r="K15" s="93"/>
      <c r="L15" s="93"/>
      <c r="M15" s="93"/>
      <c r="N15" s="93"/>
      <c r="O15" s="93"/>
      <c r="V15" s="93"/>
      <c r="W15" s="93"/>
      <c r="X15" s="93"/>
      <c r="Y15" s="93"/>
      <c r="Z15" s="93"/>
      <c r="AA15" s="93"/>
      <c r="AB15" s="93"/>
    </row>
    <row r="16" spans="1:28" s="107" customFormat="1" x14ac:dyDescent="0.25">
      <c r="B16" s="121" t="s">
        <v>398</v>
      </c>
      <c r="C16" s="275"/>
      <c r="D16" s="135"/>
      <c r="E16" s="135"/>
      <c r="F16" s="135"/>
      <c r="G16" s="135"/>
      <c r="H16" s="135"/>
      <c r="I16" s="111"/>
      <c r="J16" s="93"/>
      <c r="K16" s="93"/>
      <c r="L16" s="93"/>
      <c r="M16" s="93"/>
      <c r="N16" s="93"/>
      <c r="O16" s="93"/>
      <c r="V16" s="93"/>
      <c r="W16" s="93"/>
      <c r="X16" s="93"/>
      <c r="Y16" s="93"/>
      <c r="Z16" s="93"/>
      <c r="AA16" s="93"/>
      <c r="AB16" s="93"/>
    </row>
    <row r="17" spans="1:28" s="107" customFormat="1" ht="47.25" x14ac:dyDescent="0.25">
      <c r="A17" s="440" t="s">
        <v>525</v>
      </c>
      <c r="B17" s="181" t="str">
        <f>IF('SFA PROCUREMENT TABLE'!$I$69=0, ""," 8) Based on a review of invoices/receipts, is the SFA compliant with the applicable small purchase procedures, ensuring suppliers provide products/service and prices as quoted, "&amp;"the Buy American provision, geographic preference, as applicable? [2 CFR Part 200.318(b]) (NOTE:  Identify non-compliance in the comment box.)")</f>
        <v xml:space="preserve"> 8) Based on a review of invoices/receipts, is the SFA compliant with the applicable small purchase procedures, ensuring suppliers provide products/service and prices as quoted, the Buy American provision, geographic preference, as applicable? [2 CFR Part 200.318(b]) (NOTE:  Identify non-compliance in the comment box.)</v>
      </c>
      <c r="C17" s="274"/>
      <c r="D17" s="134"/>
      <c r="E17" s="134" t="str">
        <f t="shared" ref="E17:H17" si="3">IF(AND($C17 = "all are compliant", E$1 = "noncompliant party"), "N/A", "")</f>
        <v/>
      </c>
      <c r="F17" s="134"/>
      <c r="G17" s="134" t="str">
        <f t="shared" si="3"/>
        <v/>
      </c>
      <c r="H17" s="134" t="str">
        <f t="shared" si="3"/>
        <v/>
      </c>
      <c r="I17" s="128" t="str">
        <f>IF(C17="non-compliant", "COMMENT REQUIRED", "")</f>
        <v/>
      </c>
      <c r="J17" s="93"/>
      <c r="K17" s="93"/>
      <c r="L17" s="93"/>
      <c r="M17" s="93"/>
      <c r="N17" s="93"/>
      <c r="O17" s="93"/>
      <c r="V17" s="93"/>
      <c r="W17" s="93"/>
      <c r="X17" s="93"/>
      <c r="Y17" s="93"/>
      <c r="Z17" s="93"/>
      <c r="AA17" s="93"/>
      <c r="AB17" s="93"/>
    </row>
    <row r="18" spans="1:28" s="107" customFormat="1" x14ac:dyDescent="0.25">
      <c r="B18" s="313"/>
      <c r="C18" s="314"/>
      <c r="D18" s="154"/>
      <c r="E18" s="154"/>
      <c r="F18" s="154"/>
      <c r="G18" s="154"/>
      <c r="H18" s="154"/>
      <c r="I18" s="128"/>
      <c r="J18" s="93"/>
      <c r="K18" s="93"/>
      <c r="L18" s="93"/>
      <c r="M18" s="93"/>
      <c r="N18" s="93"/>
      <c r="O18" s="93"/>
      <c r="V18" s="93"/>
      <c r="W18" s="93"/>
      <c r="X18" s="93"/>
      <c r="Y18" s="93"/>
      <c r="Z18" s="93"/>
      <c r="AA18" s="93"/>
      <c r="AB18" s="93"/>
    </row>
    <row r="19" spans="1:28" s="107" customFormat="1" ht="50.25" customHeight="1" x14ac:dyDescent="0.25">
      <c r="A19" s="434" t="s">
        <v>480</v>
      </c>
      <c r="B19" s="435" t="s">
        <v>511</v>
      </c>
      <c r="C19" s="315"/>
      <c r="D19" s="279"/>
      <c r="E19" s="279"/>
      <c r="F19" s="279"/>
      <c r="G19" s="279"/>
      <c r="H19" s="279"/>
      <c r="I19" s="128"/>
      <c r="J19" s="93"/>
      <c r="K19" s="93"/>
      <c r="L19" s="93"/>
      <c r="M19" s="93"/>
      <c r="N19" s="93"/>
      <c r="O19" s="93"/>
      <c r="V19" s="93"/>
      <c r="W19" s="93"/>
      <c r="X19" s="93"/>
      <c r="Y19" s="93"/>
      <c r="Z19" s="93"/>
      <c r="AA19" s="93"/>
      <c r="AB19" s="93"/>
    </row>
    <row r="20" spans="1:28" s="107" customFormat="1" x14ac:dyDescent="0.25">
      <c r="B20" s="331"/>
      <c r="C20" s="310"/>
      <c r="D20" s="134"/>
      <c r="E20" s="134"/>
      <c r="F20" s="134"/>
      <c r="G20" s="134"/>
      <c r="H20" s="134"/>
      <c r="I20" s="128"/>
      <c r="J20" s="93"/>
      <c r="K20" s="93"/>
      <c r="L20" s="93"/>
      <c r="M20" s="93"/>
      <c r="N20" s="93"/>
      <c r="O20" s="93"/>
      <c r="V20" s="93"/>
      <c r="W20" s="93"/>
      <c r="X20" s="93"/>
      <c r="Y20" s="93"/>
      <c r="Z20" s="93"/>
      <c r="AA20" s="93"/>
      <c r="AB20" s="93"/>
    </row>
    <row r="21" spans="1:28" s="107" customFormat="1" ht="16.5" thickBot="1" x14ac:dyDescent="0.3">
      <c r="B21" s="182" t="str">
        <f>IF('SFA PROCUREMENT TABLE'!$I$69 = 0, "", "ADDITIONAL COMMENTS:")</f>
        <v>ADDITIONAL COMMENTS:</v>
      </c>
      <c r="C21" s="148"/>
      <c r="D21" s="134" t="str">
        <f t="shared" ref="D21:H21" si="4">IF($C21 = "all are compliant", "N/A", "")</f>
        <v/>
      </c>
      <c r="E21" s="134" t="str">
        <f t="shared" si="4"/>
        <v/>
      </c>
      <c r="F21" s="134" t="str">
        <f t="shared" si="4"/>
        <v/>
      </c>
      <c r="G21" s="134" t="str">
        <f t="shared" si="4"/>
        <v/>
      </c>
      <c r="H21" s="134" t="str">
        <f t="shared" si="4"/>
        <v/>
      </c>
      <c r="I21" s="128"/>
      <c r="J21" s="93"/>
      <c r="K21" s="93"/>
      <c r="L21" s="93"/>
      <c r="M21" s="93"/>
      <c r="N21" s="93"/>
      <c r="O21" s="93"/>
      <c r="V21" s="93"/>
      <c r="W21" s="93"/>
      <c r="X21" s="93"/>
      <c r="Y21" s="93"/>
      <c r="Z21" s="93"/>
      <c r="AA21" s="93"/>
      <c r="AB21" s="93"/>
    </row>
    <row r="22" spans="1:28" x14ac:dyDescent="0.25">
      <c r="B22" s="55"/>
      <c r="C22" s="146"/>
      <c r="D22" s="146"/>
      <c r="E22" s="146"/>
      <c r="F22" s="146"/>
      <c r="G22" s="146"/>
      <c r="H22" s="146"/>
      <c r="P22" s="1"/>
      <c r="Q22" s="1"/>
      <c r="R22" s="1"/>
      <c r="S22" s="1"/>
      <c r="T22" s="1"/>
      <c r="U22" s="1"/>
      <c r="V22" s="1"/>
      <c r="W22" s="1"/>
      <c r="X22" s="1"/>
      <c r="Y22" s="1"/>
      <c r="Z22" s="1"/>
      <c r="AA22" s="1"/>
      <c r="AB22" s="1"/>
    </row>
    <row r="23" spans="1:28" x14ac:dyDescent="0.25">
      <c r="B23" s="55"/>
      <c r="C23" s="146"/>
      <c r="D23" s="146"/>
      <c r="E23" s="146"/>
      <c r="F23" s="146"/>
      <c r="G23" s="146"/>
      <c r="H23" s="146"/>
      <c r="P23" s="1"/>
      <c r="Q23" s="1"/>
      <c r="R23" s="1"/>
      <c r="S23" s="1"/>
      <c r="T23" s="1"/>
      <c r="U23" s="1"/>
      <c r="V23" s="1"/>
      <c r="W23" s="1"/>
      <c r="X23" s="1"/>
      <c r="Y23" s="1"/>
      <c r="Z23" s="1"/>
      <c r="AA23" s="1"/>
      <c r="AB23" s="1"/>
    </row>
    <row r="24" spans="1:28" x14ac:dyDescent="0.25">
      <c r="B24" s="55"/>
      <c r="C24" s="146"/>
      <c r="D24" s="146"/>
      <c r="E24" s="146"/>
      <c r="F24" s="146"/>
      <c r="G24" s="146"/>
      <c r="H24" s="146"/>
      <c r="P24" s="1"/>
      <c r="Q24" s="1"/>
      <c r="R24" s="1"/>
      <c r="S24" s="1"/>
      <c r="T24" s="1"/>
      <c r="U24" s="1"/>
      <c r="V24" s="1"/>
      <c r="W24" s="1"/>
      <c r="X24" s="1"/>
      <c r="Y24" s="1"/>
      <c r="Z24" s="1"/>
      <c r="AA24" s="1"/>
      <c r="AB24" s="1"/>
    </row>
    <row r="25" spans="1:28" x14ac:dyDescent="0.25">
      <c r="B25" s="55"/>
      <c r="C25" s="146"/>
      <c r="D25" s="146"/>
      <c r="E25" s="146"/>
      <c r="F25" s="146"/>
      <c r="G25" s="146"/>
      <c r="H25" s="146"/>
      <c r="P25" s="1"/>
      <c r="Q25" s="1"/>
      <c r="R25" s="1"/>
      <c r="S25" s="1"/>
      <c r="T25" s="1"/>
      <c r="U25" s="1"/>
      <c r="V25" s="1"/>
      <c r="W25" s="1"/>
      <c r="X25" s="1"/>
      <c r="Y25" s="1"/>
      <c r="Z25" s="1"/>
      <c r="AA25" s="1"/>
      <c r="AB25" s="1"/>
    </row>
    <row r="26" spans="1:28" x14ac:dyDescent="0.25">
      <c r="B26" s="55"/>
      <c r="C26" s="146"/>
      <c r="D26" s="146"/>
      <c r="E26" s="146"/>
      <c r="F26" s="146"/>
      <c r="G26" s="146"/>
      <c r="H26" s="146"/>
      <c r="P26" s="1"/>
      <c r="Q26" s="1"/>
      <c r="R26" s="1"/>
      <c r="S26" s="1"/>
      <c r="T26" s="1"/>
      <c r="U26" s="1"/>
      <c r="V26" s="1"/>
      <c r="W26" s="1"/>
      <c r="X26" s="1"/>
      <c r="Y26" s="1"/>
      <c r="Z26" s="1"/>
      <c r="AA26" s="1"/>
      <c r="AB26" s="1"/>
    </row>
    <row r="27" spans="1:28" x14ac:dyDescent="0.25">
      <c r="B27" s="55"/>
      <c r="C27" s="146"/>
      <c r="D27" s="146"/>
      <c r="E27" s="146"/>
      <c r="F27" s="146"/>
      <c r="G27" s="146"/>
      <c r="H27" s="146"/>
      <c r="P27" s="1"/>
      <c r="Q27" s="1"/>
      <c r="R27" s="1"/>
      <c r="S27" s="1"/>
      <c r="T27" s="1"/>
      <c r="U27" s="1"/>
      <c r="V27" s="1"/>
      <c r="W27" s="1"/>
      <c r="X27" s="1"/>
      <c r="Y27" s="1"/>
      <c r="Z27" s="1"/>
      <c r="AA27" s="1"/>
      <c r="AB27" s="1"/>
    </row>
    <row r="28" spans="1:28" x14ac:dyDescent="0.25">
      <c r="B28" s="55"/>
      <c r="C28" s="146"/>
      <c r="D28" s="146"/>
      <c r="E28" s="146"/>
      <c r="F28" s="146"/>
      <c r="G28" s="146"/>
      <c r="H28" s="146"/>
      <c r="P28" s="1"/>
      <c r="Q28" s="1"/>
      <c r="R28" s="1"/>
      <c r="S28" s="1"/>
      <c r="T28" s="1"/>
      <c r="U28" s="1"/>
      <c r="V28" s="1"/>
      <c r="W28" s="1"/>
      <c r="X28" s="1"/>
      <c r="Y28" s="1"/>
      <c r="Z28" s="1"/>
      <c r="AA28" s="1"/>
      <c r="AB28" s="1"/>
    </row>
    <row r="29" spans="1:28" x14ac:dyDescent="0.25">
      <c r="B29" s="55"/>
      <c r="C29" s="146"/>
      <c r="D29" s="146"/>
      <c r="E29" s="146"/>
      <c r="F29" s="146"/>
      <c r="G29" s="146"/>
      <c r="H29" s="146"/>
      <c r="P29" s="1"/>
      <c r="Q29" s="1"/>
      <c r="R29" s="1"/>
      <c r="S29" s="1"/>
      <c r="T29" s="1"/>
      <c r="U29" s="1"/>
      <c r="V29" s="1"/>
      <c r="W29" s="1"/>
      <c r="X29" s="1"/>
      <c r="Y29" s="1"/>
      <c r="Z29" s="1"/>
      <c r="AA29" s="1"/>
      <c r="AB29" s="1"/>
    </row>
    <row r="30" spans="1:28" x14ac:dyDescent="0.25">
      <c r="B30" s="55"/>
      <c r="C30" s="146"/>
      <c r="D30" s="146"/>
      <c r="E30" s="146"/>
      <c r="F30" s="146"/>
      <c r="G30" s="146"/>
      <c r="H30" s="146"/>
      <c r="P30" s="1"/>
      <c r="Q30" s="1"/>
      <c r="R30" s="1"/>
      <c r="S30" s="1"/>
      <c r="T30" s="1"/>
      <c r="U30" s="1"/>
      <c r="V30" s="1"/>
      <c r="W30" s="1"/>
      <c r="X30" s="1"/>
      <c r="Y30" s="1"/>
      <c r="Z30" s="1"/>
      <c r="AA30" s="1"/>
      <c r="AB30" s="1"/>
    </row>
    <row r="31" spans="1:28" x14ac:dyDescent="0.25">
      <c r="B31" s="55"/>
      <c r="C31" s="146"/>
      <c r="D31" s="146"/>
      <c r="E31" s="146"/>
      <c r="F31" s="146"/>
      <c r="G31" s="146"/>
      <c r="H31" s="146"/>
      <c r="P31" s="1"/>
      <c r="Q31" s="1"/>
      <c r="R31" s="1"/>
      <c r="S31" s="1"/>
      <c r="T31" s="1"/>
      <c r="U31" s="1"/>
      <c r="V31" s="1"/>
      <c r="W31" s="1"/>
      <c r="X31" s="1"/>
      <c r="Y31" s="1"/>
      <c r="Z31" s="1"/>
      <c r="AA31" s="1"/>
      <c r="AB31" s="1"/>
    </row>
    <row r="32" spans="1:28" x14ac:dyDescent="0.25">
      <c r="B32" s="55"/>
      <c r="C32" s="146"/>
      <c r="D32" s="146"/>
      <c r="E32" s="146"/>
      <c r="F32" s="146"/>
      <c r="G32" s="146"/>
      <c r="H32" s="146"/>
      <c r="P32" s="1"/>
      <c r="Q32" s="1"/>
      <c r="R32" s="1"/>
      <c r="S32" s="1"/>
      <c r="T32" s="1"/>
      <c r="U32" s="1"/>
      <c r="V32" s="1"/>
      <c r="W32" s="1"/>
      <c r="X32" s="1"/>
      <c r="Y32" s="1"/>
      <c r="Z32" s="1"/>
      <c r="AA32" s="1"/>
      <c r="AB32" s="1"/>
    </row>
    <row r="33" spans="2:28" x14ac:dyDescent="0.25">
      <c r="B33" s="55"/>
      <c r="C33" s="146"/>
      <c r="D33" s="146"/>
      <c r="E33" s="146"/>
      <c r="F33" s="146"/>
      <c r="G33" s="146"/>
      <c r="H33" s="146"/>
      <c r="P33" s="1"/>
      <c r="Q33" s="1"/>
      <c r="R33" s="1"/>
      <c r="S33" s="1"/>
      <c r="T33" s="1"/>
      <c r="U33" s="1"/>
      <c r="V33" s="1"/>
      <c r="W33" s="1"/>
      <c r="X33" s="1"/>
      <c r="Y33" s="1"/>
      <c r="Z33" s="1"/>
      <c r="AA33" s="1"/>
      <c r="AB33" s="1"/>
    </row>
    <row r="34" spans="2:28" x14ac:dyDescent="0.25">
      <c r="B34" s="55"/>
      <c r="C34" s="146"/>
      <c r="D34" s="146"/>
      <c r="E34" s="146"/>
      <c r="F34" s="146"/>
      <c r="G34" s="146"/>
      <c r="H34" s="146"/>
      <c r="P34" s="1"/>
      <c r="Q34" s="1"/>
      <c r="R34" s="1"/>
      <c r="S34" s="1"/>
      <c r="T34" s="1"/>
      <c r="U34" s="1"/>
      <c r="V34" s="1"/>
      <c r="W34" s="1"/>
      <c r="X34" s="1"/>
      <c r="Y34" s="1"/>
      <c r="Z34" s="1"/>
      <c r="AA34" s="1"/>
      <c r="AB34" s="1"/>
    </row>
    <row r="35" spans="2:28" x14ac:dyDescent="0.25">
      <c r="B35" s="55"/>
      <c r="C35" s="146"/>
      <c r="D35" s="146"/>
      <c r="E35" s="146"/>
      <c r="F35" s="146"/>
      <c r="G35" s="146"/>
      <c r="H35" s="146"/>
      <c r="P35" s="1"/>
      <c r="Q35" s="1"/>
      <c r="R35" s="1"/>
      <c r="S35" s="1"/>
      <c r="T35" s="1"/>
      <c r="U35" s="1"/>
      <c r="V35" s="1"/>
      <c r="W35" s="1"/>
      <c r="X35" s="1"/>
      <c r="Y35" s="1"/>
      <c r="Z35" s="1"/>
      <c r="AA35" s="1"/>
      <c r="AB35" s="1"/>
    </row>
    <row r="36" spans="2:28" x14ac:dyDescent="0.25">
      <c r="B36" s="55"/>
      <c r="C36" s="146"/>
      <c r="D36" s="146"/>
      <c r="E36" s="146"/>
      <c r="F36" s="146"/>
      <c r="G36" s="146"/>
      <c r="H36" s="146"/>
      <c r="P36" s="1"/>
      <c r="Q36" s="1"/>
      <c r="R36" s="1"/>
      <c r="S36" s="1"/>
      <c r="T36" s="1"/>
      <c r="U36" s="1"/>
      <c r="V36" s="1"/>
      <c r="W36" s="1"/>
      <c r="X36" s="1"/>
      <c r="Y36" s="1"/>
      <c r="Z36" s="1"/>
      <c r="AA36" s="1"/>
      <c r="AB36" s="1"/>
    </row>
    <row r="37" spans="2:28" x14ac:dyDescent="0.25">
      <c r="B37" s="55"/>
      <c r="C37" s="146"/>
      <c r="D37" s="146"/>
      <c r="E37" s="146"/>
      <c r="F37" s="146"/>
      <c r="G37" s="146"/>
      <c r="H37" s="146"/>
      <c r="P37" s="1"/>
      <c r="Q37" s="1"/>
      <c r="R37" s="1"/>
      <c r="S37" s="1"/>
      <c r="T37" s="1"/>
      <c r="U37" s="1"/>
      <c r="V37" s="1"/>
      <c r="W37" s="1"/>
      <c r="X37" s="1"/>
      <c r="Y37" s="1"/>
      <c r="Z37" s="1"/>
      <c r="AA37" s="1"/>
      <c r="AB37" s="1"/>
    </row>
    <row r="38" spans="2:28" x14ac:dyDescent="0.25">
      <c r="B38" s="55"/>
      <c r="C38" s="146"/>
      <c r="D38" s="146"/>
      <c r="E38" s="146"/>
      <c r="F38" s="146"/>
      <c r="G38" s="146"/>
      <c r="H38" s="146"/>
      <c r="P38" s="1"/>
      <c r="Q38" s="1"/>
      <c r="R38" s="1"/>
      <c r="S38" s="1"/>
      <c r="T38" s="1"/>
      <c r="U38" s="1"/>
      <c r="V38" s="1"/>
      <c r="W38" s="1"/>
      <c r="X38" s="1"/>
      <c r="Y38" s="1"/>
      <c r="Z38" s="1"/>
      <c r="AA38" s="1"/>
      <c r="AB38" s="1"/>
    </row>
    <row r="39" spans="2:28" x14ac:dyDescent="0.25">
      <c r="B39" s="55"/>
      <c r="C39" s="146"/>
      <c r="D39" s="146"/>
      <c r="E39" s="146"/>
      <c r="F39" s="146"/>
      <c r="G39" s="146"/>
      <c r="H39" s="146"/>
      <c r="P39" s="1"/>
      <c r="Q39" s="1"/>
      <c r="R39" s="1"/>
      <c r="S39" s="1"/>
      <c r="T39" s="1"/>
      <c r="U39" s="1"/>
      <c r="V39" s="1"/>
      <c r="W39" s="1"/>
      <c r="X39" s="1"/>
      <c r="Y39" s="1"/>
      <c r="Z39" s="1"/>
      <c r="AA39" s="1"/>
      <c r="AB39" s="1"/>
    </row>
    <row r="40" spans="2:28" x14ac:dyDescent="0.25">
      <c r="B40" s="55"/>
      <c r="C40" s="146"/>
      <c r="D40" s="146"/>
      <c r="E40" s="146"/>
      <c r="F40" s="146"/>
      <c r="G40" s="146"/>
      <c r="H40" s="146"/>
      <c r="P40" s="1"/>
      <c r="Q40" s="1"/>
      <c r="R40" s="1"/>
      <c r="S40" s="1"/>
      <c r="T40" s="1"/>
      <c r="U40" s="1"/>
      <c r="V40" s="1"/>
      <c r="W40" s="1"/>
      <c r="X40" s="1"/>
      <c r="Y40" s="1"/>
      <c r="Z40" s="1"/>
      <c r="AA40" s="1"/>
      <c r="AB40" s="1"/>
    </row>
    <row r="41" spans="2:28" x14ac:dyDescent="0.25">
      <c r="B41" s="55"/>
      <c r="C41" s="146"/>
      <c r="D41" s="146"/>
      <c r="E41" s="146"/>
      <c r="F41" s="146"/>
      <c r="G41" s="146"/>
      <c r="H41" s="146"/>
      <c r="P41" s="1"/>
      <c r="Q41" s="1"/>
      <c r="R41" s="1"/>
      <c r="S41" s="1"/>
      <c r="T41" s="1"/>
      <c r="U41" s="1"/>
      <c r="V41" s="1"/>
      <c r="W41" s="1"/>
      <c r="X41" s="1"/>
      <c r="Y41" s="1"/>
      <c r="Z41" s="1"/>
      <c r="AA41" s="1"/>
      <c r="AB41" s="1"/>
    </row>
    <row r="42" spans="2:28" x14ac:dyDescent="0.25">
      <c r="B42" s="55"/>
      <c r="C42" s="146"/>
      <c r="D42" s="146"/>
      <c r="E42" s="146"/>
      <c r="F42" s="146"/>
      <c r="G42" s="146"/>
      <c r="H42" s="146"/>
      <c r="P42" s="1"/>
      <c r="Q42" s="1"/>
      <c r="R42" s="1"/>
      <c r="S42" s="1"/>
      <c r="T42" s="1"/>
      <c r="U42" s="1"/>
      <c r="V42" s="1"/>
      <c r="W42" s="1"/>
      <c r="X42" s="1"/>
      <c r="Y42" s="1"/>
      <c r="Z42" s="1"/>
      <c r="AA42" s="1"/>
      <c r="AB42" s="1"/>
    </row>
    <row r="43" spans="2:28" x14ac:dyDescent="0.25">
      <c r="B43" s="55"/>
      <c r="C43" s="146"/>
      <c r="D43" s="146"/>
      <c r="E43" s="146"/>
      <c r="F43" s="146"/>
      <c r="G43" s="146"/>
      <c r="H43" s="146"/>
      <c r="P43" s="1"/>
      <c r="Q43" s="1"/>
      <c r="R43" s="1"/>
      <c r="S43" s="1"/>
      <c r="T43" s="1"/>
      <c r="U43" s="1"/>
      <c r="V43" s="1"/>
      <c r="W43" s="1"/>
      <c r="X43" s="1"/>
      <c r="Y43" s="1"/>
      <c r="Z43" s="1"/>
      <c r="AA43" s="1"/>
      <c r="AB43" s="1"/>
    </row>
    <row r="44" spans="2:28" x14ac:dyDescent="0.25">
      <c r="B44" s="55"/>
      <c r="C44" s="146"/>
      <c r="D44" s="146"/>
      <c r="E44" s="146"/>
      <c r="F44" s="146"/>
      <c r="G44" s="146"/>
      <c r="H44" s="146"/>
      <c r="P44" s="1"/>
      <c r="Q44" s="1"/>
      <c r="R44" s="1"/>
      <c r="S44" s="1"/>
      <c r="T44" s="1"/>
      <c r="U44" s="1"/>
      <c r="V44" s="1"/>
      <c r="W44" s="1"/>
      <c r="X44" s="1"/>
      <c r="Y44" s="1"/>
      <c r="Z44" s="1"/>
      <c r="AA44" s="1"/>
      <c r="AB44" s="1"/>
    </row>
    <row r="45" spans="2:28" x14ac:dyDescent="0.25">
      <c r="B45" s="55"/>
      <c r="C45" s="146"/>
      <c r="D45" s="146"/>
      <c r="E45" s="146"/>
      <c r="F45" s="146"/>
      <c r="G45" s="146"/>
      <c r="H45" s="146"/>
      <c r="P45" s="1"/>
      <c r="Q45" s="1"/>
      <c r="R45" s="1"/>
      <c r="S45" s="1"/>
      <c r="T45" s="1"/>
      <c r="U45" s="1"/>
      <c r="V45" s="1"/>
      <c r="W45" s="1"/>
      <c r="X45" s="1"/>
      <c r="Y45" s="1"/>
      <c r="Z45" s="1"/>
      <c r="AA45" s="1"/>
      <c r="AB45" s="1"/>
    </row>
    <row r="46" spans="2:28" x14ac:dyDescent="0.25">
      <c r="B46" s="55"/>
      <c r="C46" s="146"/>
      <c r="D46" s="146"/>
      <c r="E46" s="146"/>
      <c r="F46" s="146"/>
      <c r="G46" s="146"/>
      <c r="H46" s="146"/>
      <c r="P46" s="1"/>
      <c r="Q46" s="1"/>
      <c r="R46" s="1"/>
      <c r="S46" s="1"/>
      <c r="T46" s="1"/>
      <c r="U46" s="1"/>
      <c r="V46" s="1"/>
      <c r="W46" s="1"/>
      <c r="X46" s="1"/>
      <c r="Y46" s="1"/>
      <c r="Z46" s="1"/>
      <c r="AA46" s="1"/>
      <c r="AB46" s="1"/>
    </row>
    <row r="47" spans="2:28" x14ac:dyDescent="0.25">
      <c r="B47" s="55"/>
      <c r="C47" s="146"/>
      <c r="D47" s="146"/>
      <c r="E47" s="146"/>
      <c r="F47" s="146"/>
      <c r="G47" s="146"/>
      <c r="H47" s="146"/>
      <c r="P47" s="1"/>
      <c r="Q47" s="1"/>
      <c r="R47" s="1"/>
      <c r="S47" s="1"/>
      <c r="T47" s="1"/>
      <c r="U47" s="1"/>
      <c r="V47" s="1"/>
      <c r="W47" s="1"/>
      <c r="X47" s="1"/>
      <c r="Y47" s="1"/>
      <c r="Z47" s="1"/>
      <c r="AA47" s="1"/>
      <c r="AB47" s="1"/>
    </row>
    <row r="48" spans="2:28" x14ac:dyDescent="0.25">
      <c r="B48" s="55"/>
      <c r="C48" s="146"/>
      <c r="D48" s="146"/>
      <c r="E48" s="146"/>
      <c r="F48" s="146"/>
      <c r="G48" s="146"/>
      <c r="H48" s="146"/>
      <c r="P48" s="1"/>
      <c r="Q48" s="1"/>
      <c r="R48" s="1"/>
      <c r="S48" s="1"/>
      <c r="T48" s="1"/>
      <c r="U48" s="1"/>
      <c r="V48" s="1"/>
      <c r="W48" s="1"/>
      <c r="X48" s="1"/>
      <c r="Y48" s="1"/>
      <c r="Z48" s="1"/>
      <c r="AA48" s="1"/>
      <c r="AB48" s="1"/>
    </row>
    <row r="49" spans="2:28" x14ac:dyDescent="0.25">
      <c r="B49" s="55"/>
      <c r="C49" s="146"/>
      <c r="D49" s="146"/>
      <c r="E49" s="146"/>
      <c r="F49" s="146"/>
      <c r="G49" s="146"/>
      <c r="H49" s="146"/>
      <c r="P49" s="1"/>
      <c r="Q49" s="1"/>
      <c r="R49" s="1"/>
      <c r="S49" s="1"/>
      <c r="T49" s="1"/>
      <c r="U49" s="1"/>
      <c r="V49" s="1"/>
      <c r="W49" s="1"/>
      <c r="X49" s="1"/>
      <c r="Y49" s="1"/>
      <c r="Z49" s="1"/>
      <c r="AA49" s="1"/>
      <c r="AB49" s="1"/>
    </row>
    <row r="50" spans="2:28" x14ac:dyDescent="0.25">
      <c r="B50" s="55"/>
      <c r="C50" s="146"/>
      <c r="D50" s="146"/>
      <c r="E50" s="146"/>
      <c r="F50" s="146"/>
      <c r="G50" s="146"/>
      <c r="H50" s="146"/>
      <c r="P50" s="1"/>
      <c r="Q50" s="1"/>
      <c r="R50" s="1"/>
      <c r="S50" s="1"/>
      <c r="T50" s="1"/>
      <c r="U50" s="1"/>
      <c r="V50" s="1"/>
      <c r="W50" s="1"/>
      <c r="X50" s="1"/>
      <c r="Y50" s="1"/>
      <c r="Z50" s="1"/>
      <c r="AA50" s="1"/>
      <c r="AB50" s="1"/>
    </row>
    <row r="51" spans="2:28" x14ac:dyDescent="0.25">
      <c r="B51" s="55"/>
      <c r="C51" s="146"/>
      <c r="D51" s="146"/>
      <c r="E51" s="146"/>
      <c r="F51" s="146"/>
      <c r="G51" s="146"/>
      <c r="H51" s="146"/>
      <c r="P51" s="1"/>
      <c r="Q51" s="1"/>
      <c r="R51" s="1"/>
      <c r="S51" s="1"/>
      <c r="T51" s="1"/>
      <c r="U51" s="1"/>
      <c r="V51" s="1"/>
      <c r="W51" s="1"/>
      <c r="X51" s="1"/>
      <c r="Y51" s="1"/>
      <c r="Z51" s="1"/>
      <c r="AA51" s="1"/>
      <c r="AB51" s="1"/>
    </row>
  </sheetData>
  <dataConsolidate/>
  <mergeCells count="7">
    <mergeCell ref="I1:I5"/>
    <mergeCell ref="C2:C5"/>
    <mergeCell ref="D1:D5"/>
    <mergeCell ref="E1:E5"/>
    <mergeCell ref="F1:F5"/>
    <mergeCell ref="G1:G5"/>
    <mergeCell ref="H1:H5"/>
  </mergeCells>
  <pageMargins left="0.7" right="0.7" top="0.75" bottom="0.75" header="0.3" footer="0.3"/>
  <pageSetup scale="13" orientation="landscape" horizontalDpi="1200" verticalDpi="120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0000000}">
          <x14:formula1>
            <xm:f>Selection!$C$2:$C$8</xm:f>
          </x14:formula1>
          <xm:sqref>D14:H15 D7:H12 D17:H21</xm:sqref>
        </x14:dataValidation>
        <x14:dataValidation type="list" allowBlank="1" showInputMessage="1" showErrorMessage="1" xr:uid="{00000000-0002-0000-0A00-000001000000}">
          <x14:formula1>
            <xm:f>Selection!$L$2:$L$4</xm:f>
          </x14:formula1>
          <xm:sqref>C21</xm:sqref>
        </x14:dataValidation>
        <x14:dataValidation type="list" allowBlank="1" showInputMessage="1" showErrorMessage="1" xr:uid="{00000000-0002-0000-0A00-000002000000}">
          <x14:formula1>
            <xm:f>'Data sets '!$A$220:$A$222</xm:f>
          </x14:formula1>
          <xm:sqref>C17 C7:C12 C14:C15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92D050"/>
    <pageSetUpPr fitToPage="1"/>
  </sheetPr>
  <dimension ref="A1:J37"/>
  <sheetViews>
    <sheetView zoomScale="90" zoomScaleNormal="90" workbookViewId="0">
      <pane xSplit="3" ySplit="5" topLeftCell="D36" activePane="bottomRight" state="frozen"/>
      <selection pane="topRight" activeCell="C1" sqref="C1"/>
      <selection pane="bottomLeft" activeCell="A6" sqref="A6"/>
      <selection pane="bottomRight" activeCell="B39" sqref="B39"/>
    </sheetView>
  </sheetViews>
  <sheetFormatPr defaultColWidth="9.140625" defaultRowHeight="15.75" x14ac:dyDescent="0.25"/>
  <cols>
    <col min="1" max="1" width="14" style="482" bestFit="1" customWidth="1"/>
    <col min="2" max="2" width="100.7109375" style="11" customWidth="1"/>
    <col min="3" max="3" width="34.42578125" style="189" bestFit="1" customWidth="1"/>
    <col min="4" max="4" width="34.7109375" style="189" customWidth="1"/>
    <col min="5" max="5" width="24.5703125" style="189" customWidth="1"/>
    <col min="6" max="7" width="25.85546875" style="189" customWidth="1"/>
    <col min="8" max="8" width="25.5703125" style="189" customWidth="1"/>
    <col min="9" max="9" width="23.85546875" style="189" customWidth="1"/>
    <col min="10" max="10" width="33.5703125" style="11" customWidth="1"/>
    <col min="11" max="16384" width="9.140625" style="11"/>
  </cols>
  <sheetData>
    <row r="1" spans="1:10" s="1" customFormat="1" ht="21" customHeight="1" x14ac:dyDescent="0.3">
      <c r="A1" s="477"/>
      <c r="B1" s="469">
        <f>IF('SFA PROCUREMENT TABLE'!$L$90=0,"SKIP - NO PROCUREMENTS SELECTED FOR REVIEW",'SFA PROCUREMENT TABLE'!$A$1:$D$1)</f>
        <v>0</v>
      </c>
      <c r="C1" s="714" t="s">
        <v>349</v>
      </c>
      <c r="D1" s="715" t="str">
        <f>IF('SFA PROCUREMENT TABLE'!$L$90=0,"SKIP - NO PROCUREMENTS SELECTED FOR REVIEW",IF('SFA PROCUREMENT TABLE'!$L$90&gt;0,"Noncompliant Party", ""))</f>
        <v>Noncompliant Party</v>
      </c>
      <c r="E1" s="711" t="str">
        <f>IF('SFA PROCUREMENT TABLE'!$L$90=0,"SKIP - NO PROCUREMENTS SELECTED FOR REVIEW",IF('SFA PROCUREMENT TABLE'!$L$90&gt;1,"Noncompliant Party", ""))</f>
        <v/>
      </c>
      <c r="F1" s="711" t="str">
        <f>IF('SFA PROCUREMENT TABLE'!$L$90=0,"SKIP - NO PROCUREMENTS SELECTED FOR REVIEW",IF('SFA PROCUREMENT TABLE'!$L$90&gt;1,"Noncompliant Party", ""))</f>
        <v/>
      </c>
      <c r="G1" s="711" t="str">
        <f>IF('SFA PROCUREMENT TABLE'!$L$90=0,"SKIP - NO PROCUREMENTS SELECTED FOR REVIEW",IF('SFA PROCUREMENT TABLE'!$L$90&gt;1,"Noncompliant Party", ""))</f>
        <v/>
      </c>
      <c r="H1" s="711" t="str">
        <f>IF('SFA PROCUREMENT TABLE'!$L$90=0,"SKIP - NO PROCUREMENTS SELECTED FOR REVIEW",IF('SFA PROCUREMENT TABLE'!$L$90&gt;1,"Noncompliant Party", ""))</f>
        <v/>
      </c>
      <c r="I1" s="711" t="str">
        <f>IF('SFA PROCUREMENT TABLE'!$L$90=0,"SKIP - NO PROCUREMENTS SELECTED FOR REVIEW",IF('SFA PROCUREMENT TABLE'!$L$90&gt;1,"Noncompliant Party", ""))</f>
        <v/>
      </c>
      <c r="J1" s="711" t="s">
        <v>38</v>
      </c>
    </row>
    <row r="2" spans="1:10" s="1" customFormat="1" ht="55.5" customHeight="1" x14ac:dyDescent="0.25">
      <c r="A2" s="478"/>
      <c r="B2" s="470" t="str">
        <f>IF('SFA PROCUREMENT TABLE'!$L$90=0,"SKIP - NO PROCUREMENTS SELECTED FOR REVIEW","FORMAL PROCUREMENT PROCEDURES (Sealed Bids (Invitation for Bids)/Competitive Proposals (Request for Proposals) REVIEW WORKSHEET")</f>
        <v>FORMAL PROCUREMENT PROCEDURES (Sealed Bids (Invitation for Bids)/Competitive Proposals (Request for Proposals) REVIEW WORKSHEET</v>
      </c>
      <c r="C2" s="703"/>
      <c r="D2" s="716"/>
      <c r="E2" s="712"/>
      <c r="F2" s="712"/>
      <c r="G2" s="712"/>
      <c r="H2" s="712"/>
      <c r="I2" s="712"/>
      <c r="J2" s="712"/>
    </row>
    <row r="3" spans="1:10" s="1" customFormat="1" ht="31.5" customHeight="1" x14ac:dyDescent="0.25">
      <c r="A3" s="478"/>
      <c r="B3" s="183" t="str">
        <f>IF('SFA PROCUREMENT TABLE'!$L$90=0,"SKIP - NO PROCUREMENTS SELECTED FOR REVIEW","Small Purchase LEA Threshold                      Small Purchase State Threshold")</f>
        <v>Small Purchase LEA Threshold                      Small Purchase State Threshold</v>
      </c>
      <c r="C3" s="703"/>
      <c r="D3" s="716"/>
      <c r="E3" s="712"/>
      <c r="F3" s="712"/>
      <c r="G3" s="712"/>
      <c r="H3" s="712"/>
      <c r="I3" s="712"/>
      <c r="J3" s="712"/>
    </row>
    <row r="4" spans="1:10" s="1" customFormat="1" x14ac:dyDescent="0.25">
      <c r="A4" s="478"/>
      <c r="B4" s="184" t="str">
        <f>IF('SFA PROCUREMENT TABLE'!$L$90 = 0, "", "$"&amp;'SFA PROCUREMENT TABLE'!$D$16&amp;"                                                                                   "&amp;"$"&amp;'SFA PROCUREMENT TABLE'!$D$17)</f>
        <v>$0                                                                                   $0</v>
      </c>
      <c r="C4" s="703"/>
      <c r="D4" s="716"/>
      <c r="E4" s="712"/>
      <c r="F4" s="712"/>
      <c r="G4" s="712"/>
      <c r="H4" s="712"/>
      <c r="I4" s="712"/>
      <c r="J4" s="712"/>
    </row>
    <row r="5" spans="1:10" s="1" customFormat="1" ht="62.25" customHeight="1" thickBot="1" x14ac:dyDescent="0.3">
      <c r="A5" s="478"/>
      <c r="B5" s="471" t="s">
        <v>943</v>
      </c>
      <c r="C5" s="704"/>
      <c r="D5" s="717"/>
      <c r="E5" s="713"/>
      <c r="F5" s="713"/>
      <c r="G5" s="713"/>
      <c r="H5" s="713"/>
      <c r="I5" s="713"/>
      <c r="J5" s="713"/>
    </row>
    <row r="6" spans="1:10" s="107" customFormat="1" ht="26.25" customHeight="1" thickBot="1" x14ac:dyDescent="0.3">
      <c r="A6" s="720" t="s">
        <v>237</v>
      </c>
      <c r="B6" s="721"/>
      <c r="C6" s="185"/>
      <c r="D6" s="186"/>
      <c r="E6" s="187"/>
      <c r="F6" s="187"/>
      <c r="G6" s="187"/>
      <c r="H6" s="187"/>
      <c r="I6" s="188"/>
      <c r="J6" s="117"/>
    </row>
    <row r="7" spans="1:10" s="112" customFormat="1" ht="53.25" customHeight="1" x14ac:dyDescent="0.25">
      <c r="A7" s="481"/>
      <c r="B7" s="485" t="str">
        <f>IF('SFA PROCUREMENT TABLE'!$L$90= 0, "","1) Is the SFA compliant with conducting a cost/price analysis prior to soliciting?  [2 CFR 200.323 [NEW] (NOTE:  see reviewer tip and compliant = prior year, or other analysis used; non-compliant is no prior year and no analysis conducted.)")</f>
        <v>1) Is the SFA compliant with conducting a cost/price analysis prior to soliciting?  [2 CFR 200.323 [NEW] (NOTE:  see reviewer tip and compliant = prior year, or other analysis used; non-compliant is no prior year and no analysis conducted.)</v>
      </c>
      <c r="C7" s="369"/>
      <c r="D7" s="109" t="s">
        <v>531</v>
      </c>
      <c r="E7" s="109"/>
      <c r="F7" s="109"/>
      <c r="G7" s="109"/>
      <c r="H7" s="109"/>
      <c r="I7" s="109"/>
      <c r="J7" s="128"/>
    </row>
    <row r="8" spans="1:10" s="112" customFormat="1" ht="97.5" customHeight="1" thickBot="1" x14ac:dyDescent="0.3">
      <c r="A8" s="481" t="s">
        <v>483</v>
      </c>
      <c r="B8" s="489" t="str">
        <f>IF('SFA PROCUREMENT TABLE'!$L$90= 0, ""," 2) Is the SFA compliant with full and open competition, i.e., does not restrict competition?  (NOTE:  Restricting competition includes placing unreasonable "&amp;"requirements, unnecessary experience, or specifying a ‘brand name’ product (not allowing 'an equal' with performance or relevant requirements.) [2 CFR 200.319(a)]   "&amp;"(NOTE:  if competition is restricted, this is a finding and corrective action is to modify the document and conduct a new solicitation process.  Designate situation in the comment box.)")</f>
        <v xml:space="preserve"> 2) Is the SFA compliant with full and open competition, i.e., does not restrict competition?  (NOTE:  Restricting competition includes placing unreasonable requirements, unnecessary experience, or specifying a ‘brand name’ product (not allowing 'an equal' with performance or relevant requirements.) [2 CFR 200.319(a)]   (NOTE:  if competition is restricted, this is a finding and corrective action is to modify the document and conduct a new solicitation process.  Designate situation in the comment box.)</v>
      </c>
      <c r="C8" s="369"/>
      <c r="D8" s="109" t="s">
        <v>531</v>
      </c>
      <c r="E8" s="109"/>
      <c r="F8" s="109"/>
      <c r="G8" s="109"/>
      <c r="H8" s="109"/>
      <c r="I8" s="109"/>
      <c r="J8" s="128" t="str">
        <f>IF(C8 = "NON-COMPLIANT", "COMMENT REQUIRED", "")</f>
        <v/>
      </c>
    </row>
    <row r="9" spans="1:10" s="112" customFormat="1" ht="24" customHeight="1" thickBot="1" x14ac:dyDescent="0.3">
      <c r="A9" s="718" t="str">
        <f>IF('SFA PROCUREMENT TABLE'!$L$90=0,"", "Solicitation – Competitive Sealed Bids and Request for Proposals ")</f>
        <v xml:space="preserve">Solicitation – Competitive Sealed Bids and Request for Proposals </v>
      </c>
      <c r="B9" s="719"/>
      <c r="C9" s="136"/>
      <c r="D9" s="122"/>
      <c r="E9" s="122"/>
      <c r="F9" s="122"/>
      <c r="G9" s="122"/>
      <c r="H9" s="122"/>
      <c r="I9" s="122"/>
      <c r="J9" s="129"/>
    </row>
    <row r="10" spans="1:10" s="113" customFormat="1" ht="123.75" customHeight="1" x14ac:dyDescent="0.25">
      <c r="A10" s="457" t="s">
        <v>525</v>
      </c>
      <c r="B10" s="490" t="str">
        <f>IF('SFA PROCUREMENT TABLE'!$L$90= 0, ""," 3) Is the SFA compliant with publically advertising IFBs/RFPs and soliciting from an adequate # of qualified suppliers (2 or more submitted a bid/offer); providing adequate time for responses prior to opening; "&amp;"and including all specifications, evaluation factors; and language for contract award to the lowest responsive and responsible"&amp;" bidder/offeror most advantageous to the Program with price as the primary factor? [2 CFR 200.320(c) or (d) and July 2005 Procurement Questions, July 2005 and SP 12-2016,"&amp;" November 13, 2015] (NOTE:  For non-compliance, in comment box identify what is missing from within this question.)")</f>
        <v xml:space="preserve"> 3) Is the SFA compliant with publically advertising IFBs/RFPs and soliciting from an adequate # of qualified suppliers (2 or more submitted a bid/offer); providing adequate time for responses prior to opening; and including all specifications, evaluation factors; and language for contract award to the lowest responsive and responsible bidder/offeror most advantageous to the Program with price as the primary factor? [2 CFR 200.320(c) or (d) and July 2005 Procurement Questions, July 2005 and SP 12-2016, November 13, 2015] (NOTE:  For non-compliance, in comment box identify what is missing from within this question.)</v>
      </c>
      <c r="C10" s="369"/>
      <c r="D10" s="109"/>
      <c r="E10" s="109"/>
      <c r="F10" s="109"/>
      <c r="G10" s="109"/>
      <c r="H10" s="109"/>
      <c r="I10" s="109"/>
      <c r="J10" s="128" t="str">
        <f>IF(C10 = "NON-COMPLIANT", "COMMENT REQUIRED", "")</f>
        <v/>
      </c>
    </row>
    <row r="11" spans="1:10" s="113" customFormat="1" ht="141.75" customHeight="1" x14ac:dyDescent="0.25">
      <c r="A11" s="457" t="s">
        <v>525</v>
      </c>
      <c r="B11" s="473" t="str">
        <f>IF('SFA PROCUREMENT TABLE'!$L$90= 0, "","4)  Is the SFA compliant with the required contract provisions, as applicable: [Appendix II to 2 CFR 200 (NOTE:  These include:  administrative/contractual/legal remedies for contractors "&amp;"that breach/violate terms ($150,000); termination clause ($10,000); equal employment opportunity; contract work hours/safety standards (all contracts); "&amp;"Davis Bacon for construction ($2,000); Rights to Invention; Clean Air ($150,000) Energy Conservation; Debarment/Suspension; Byrd Anti-Lobbying ($100,000))  "&amp;"(NOTE:   For non-compliance, identify in the comment box what provisions are missing.  Corrective action may be to amend contract (s) to include provisions. Designate missing provision in comment box.)")</f>
        <v>4)  Is the SFA compliant with the required contract provisions, as applicable: [Appendix II to 2 CFR 200 (NOTE:  These include:  administrative/contractual/legal remedies for contractors that breach/violate terms ($150,000); termination clause ($10,000); equal employment opportunity; contract work hours/safety standards (all contracts); Davis Bacon for construction ($2,000); Rights to Invention; Clean Air ($150,000) Energy Conservation; Debarment/Suspension; Byrd Anti-Lobbying ($100,000))  (NOTE:   For non-compliance, identify in the comment box what provisions are missing.  Corrective action may be to amend contract (s) to include provisions. Designate missing provision in comment box.)</v>
      </c>
      <c r="C11" s="369"/>
      <c r="D11" s="109"/>
      <c r="E11" s="109"/>
      <c r="F11" s="109"/>
      <c r="G11" s="109"/>
      <c r="H11" s="109"/>
      <c r="I11" s="109"/>
      <c r="J11" s="128" t="str">
        <f>IF(C11 = "NON-COMPLIANT", "COMMENT REQUIRED", "")</f>
        <v/>
      </c>
    </row>
    <row r="12" spans="1:10" s="113" customFormat="1" ht="88.5" customHeight="1" x14ac:dyDescent="0.25">
      <c r="A12" s="481" t="s">
        <v>524</v>
      </c>
      <c r="B12" s="474" t="str">
        <f>IF('SFA PROCUREMENT TABLE'!$L$90= 0, "","  5 [For food purchases only] Is the SFA compliant with Buy American by ensuring its food vendors comply with "&amp;"the Buy American provision? (NOTE:  Domestic foods are foods produced, and processed in the United States substantially using domestic foods having over 51% domestic food components by weight or volume. "&amp;"[7 CFR 210.21 and SP02-2017 and SP 38-2017 Compliance with and Enforcement… Buy American Provision, June 30, 2017]) ")</f>
        <v xml:space="preserve">  5 [For food purchases only] Is the SFA compliant with Buy American by ensuring its food vendors comply with the Buy American provision? (NOTE:  Domestic foods are foods produced, and processed in the United States substantially using domestic foods having over 51% domestic food components by weight or volume. [7 CFR 210.21 and SP02-2017 and SP 38-2017 Compliance with and Enforcement… Buy American Provision, June 30, 2017]) </v>
      </c>
      <c r="C12" s="369"/>
      <c r="D12" s="109"/>
      <c r="E12" s="109"/>
      <c r="F12" s="109"/>
      <c r="G12" s="109"/>
      <c r="H12" s="109"/>
      <c r="I12" s="109"/>
      <c r="J12" s="128"/>
    </row>
    <row r="13" spans="1:10" s="113" customFormat="1" ht="102" customHeight="1" x14ac:dyDescent="0.25">
      <c r="A13" s="481" t="s">
        <v>482</v>
      </c>
      <c r="B13" s="472" t="str">
        <f>IF('SFA PROCUREMENT TABLE'!$L$90= 0, "","6)  If the SFA ‘piggybacked’ onto an existing contract of another SFA/cooperative, (joined after the original contract was awarded) was the SFA compliant with "&amp;"ensuring the solicitation and contract included language for the addition of parties and specified applicable limits (e.g., dollar value/number of additional parties)? SP05-2017, Q&amp;A Purchasing "&amp;"Goods and Services Using Cooperative Agreements, Agents, and Third-Party Service, October 19, 2016).")</f>
        <v>6)  If the SFA ‘piggybacked’ onto an existing contract of another SFA/cooperative, (joined after the original contract was awarded) was the SFA compliant with ensuring the solicitation and contract included language for the addition of parties and specified applicable limits (e.g., dollar value/number of additional parties)? SP05-2017, Q&amp;A Purchasing Goods and Services Using Cooperative Agreements, Agents, and Third-Party Service, October 19, 2016).</v>
      </c>
      <c r="C13" s="369"/>
      <c r="D13" s="109"/>
      <c r="E13" s="109"/>
      <c r="F13" s="109"/>
      <c r="G13" s="109"/>
      <c r="H13" s="109"/>
      <c r="I13" s="109"/>
      <c r="J13" s="128"/>
    </row>
    <row r="14" spans="1:10" s="113" customFormat="1" ht="80.25" customHeight="1" x14ac:dyDescent="0.25">
      <c r="A14" s="481" t="s">
        <v>480</v>
      </c>
      <c r="B14" s="475" t="str">
        <f>IF('SFA PROCUREMENT TABLE'!$L$90= 0, ""," a. When the SFA ‘piggybacked’, is the SFA compliant with making a determination of a material change made when parties are added to the contract? (NOTE: A material change "&amp;"is if bidders/responders had known of the contract change (addition of parties, increased scope, etc.) would bidders/responders have bid/responded differently?)")</f>
        <v xml:space="preserve"> a. When the SFA ‘piggybacked’, is the SFA compliant with making a determination of a material change made when parties are added to the contract? (NOTE: A material change is if bidders/responders had known of the contract change (addition of parties, increased scope, etc.) would bidders/responders have bid/responded differently?)</v>
      </c>
      <c r="C14" s="369"/>
      <c r="D14" s="109"/>
      <c r="E14" s="109"/>
      <c r="F14" s="109"/>
      <c r="G14" s="109"/>
      <c r="H14" s="109"/>
      <c r="I14" s="109"/>
      <c r="J14" s="128"/>
    </row>
    <row r="15" spans="1:10" s="113" customFormat="1" ht="45" customHeight="1" x14ac:dyDescent="0.25">
      <c r="A15" s="481" t="s">
        <v>482</v>
      </c>
      <c r="B15" s="476" t="str">
        <f>IF('SFA PROCUREMENT TABLE'!$L$90= 0, "","7) If the SFA uses an agent, is the SFA compliant with procuring the agent services using the applicable procurement standards in 7 CFR 210.21 and 2 CFR 200.320?")</f>
        <v>7) If the SFA uses an agent, is the SFA compliant with procuring the agent services using the applicable procurement standards in 7 CFR 210.21 and 2 CFR 200.320?</v>
      </c>
      <c r="C15" s="369"/>
      <c r="D15" s="109"/>
      <c r="E15" s="109"/>
      <c r="F15" s="109"/>
      <c r="G15" s="109"/>
      <c r="H15" s="109"/>
      <c r="I15" s="109"/>
      <c r="J15" s="128"/>
    </row>
    <row r="16" spans="1:10" s="113" customFormat="1" ht="67.5" customHeight="1" x14ac:dyDescent="0.25">
      <c r="A16" s="481" t="s">
        <v>524</v>
      </c>
      <c r="B16" s="476" t="str">
        <f>IF('SFA PROCUREMENT TABLE'!$L$90= 0, ""," 8) Is the SFA compliant with ensuring the agent complies with the Program and government-wide regulations in 7 CFR 210.21 and 2 CFR 200.318-326 as the SFA agent?")</f>
        <v xml:space="preserve"> 8) Is the SFA compliant with ensuring the agent complies with the Program and government-wide regulations in 7 CFR 210.21 and 2 CFR 200.318-326 as the SFA agent?</v>
      </c>
      <c r="C16" s="369"/>
      <c r="D16" s="109"/>
      <c r="E16" s="109"/>
      <c r="F16" s="109"/>
      <c r="G16" s="109"/>
      <c r="H16" s="109"/>
      <c r="I16" s="109"/>
      <c r="J16" s="128"/>
    </row>
    <row r="17" spans="1:10" s="113" customFormat="1" ht="68.25" customHeight="1" x14ac:dyDescent="0.25">
      <c r="A17" s="481" t="s">
        <v>524</v>
      </c>
      <c r="B17" s="476" t="str">
        <f>IF('SFA PROCUREMENT TABLE'!$L$90= 0, ""," 9)  If the SFA purchases using a third-party entity, non-Child Nutrition Program entity, is the SFA compliant with using the third party's pricing as one source when"&amp;" soliciting prices for goods and services from this entity (ies)?  (2 CFR 200.320(b) and SP05-2017, Q&amp;A Purchasing Goods and Services Using Cooperative Agreements, Agents, and Third-Party Service, October 19, 2016)")</f>
        <v xml:space="preserve"> 9)  If the SFA purchases using a third-party entity, non-Child Nutrition Program entity, is the SFA compliant with using the third party's pricing as one source when soliciting prices for goods and services from this entity (ies)?  (2 CFR 200.320(b) and SP05-2017, Q&amp;A Purchasing Goods and Services Using Cooperative Agreements, Agents, and Third-Party Service, October 19, 2016)</v>
      </c>
      <c r="C17" s="369"/>
      <c r="D17" s="109"/>
      <c r="E17" s="109"/>
      <c r="F17" s="109"/>
      <c r="G17" s="109"/>
      <c r="H17" s="109"/>
      <c r="I17" s="109"/>
      <c r="J17" s="128"/>
    </row>
    <row r="18" spans="1:10" s="113" customFormat="1" ht="140.25" customHeight="1" x14ac:dyDescent="0.25">
      <c r="A18" s="481" t="s">
        <v>524</v>
      </c>
      <c r="B18" s="472" t="str">
        <f>IF('SFA PROCUREMENT TABLE'!$L$90=0,""," 10) If using a market basket analysis, is the SFA compliant with including language in the solicitation and contract to: evaluate bids/proposals using this analysis; the representative "&amp;"list of goods (recommended at 75% or more of the total estimated value of goods to be purchased); clear and accurate descriptions; estimated quantities for "&amp;"evaluation; and the list of goods to be purchased? (Also applies to solicitations/contracts for USDA Foods processed end products purchased through a distributor "&amp;"using the Net-Off-Invoice value pass through method).  (2 CFR 200.319(c)(1) and FD144, SP04 Market Basket Analysis…, January 18, 2018.)")</f>
        <v xml:space="preserve"> 10) If using a market basket analysis, is the SFA compliant with including language in the solicitation and contract to: evaluate bids/proposals using this analysis; the representative list of goods (recommended at 75% or more of the total estimated value of goods to be purchased); clear and accurate descriptions; estimated quantities for evaluation; and the list of goods to be purchased? (Also applies to solicitations/contracts for USDA Foods processed end products purchased through a distributor using the Net-Off-Invoice value pass through method).  (2 CFR 200.319(c)(1) and FD144, SP04 Market Basket Analysis…, January 18, 2018.)</v>
      </c>
      <c r="C18" s="369"/>
      <c r="D18" s="109"/>
      <c r="E18" s="109"/>
      <c r="F18" s="109"/>
      <c r="G18" s="109"/>
      <c r="H18" s="109"/>
      <c r="I18" s="109"/>
      <c r="J18" s="128" t="str">
        <f>IF(C18 = "NON-COMPLIANT", "COMMENT REQUIRED", "")</f>
        <v/>
      </c>
    </row>
    <row r="19" spans="1:10" s="113" customFormat="1" ht="132.75" customHeight="1" thickBot="1" x14ac:dyDescent="0.3">
      <c r="A19" s="481" t="s">
        <v>480</v>
      </c>
      <c r="B19" s="486" t="str">
        <f>IF('SFA PROCUREMENT TABLE'!$L$90= 0, "","a.  When adding goods to a contract, is the SFA compliant with limiting the total value of additional goods (recommended as less than 10%) of the estimated value of the "&amp;"initial contract award? [Note: The option to add goods after award must be included in the initial solicitation and contract and in the renewal contract award.  The renewal contract "&amp;"award then establishes a new basis value for contract award including the actual value of expenditures against the award plus the value of the additional goods.] (policy as above.)")</f>
        <v>a.  When adding goods to a contract, is the SFA compliant with limiting the total value of additional goods (recommended as less than 10%) of the estimated value of the initial contract award? [Note: The option to add goods after award must be included in the initial solicitation and contract and in the renewal contract award.  The renewal contract award then establishes a new basis value for contract award including the actual value of expenditures against the award plus the value of the additional goods.] (policy as above.)</v>
      </c>
      <c r="C19" s="369"/>
      <c r="D19" s="109"/>
      <c r="E19" s="109"/>
      <c r="F19" s="109"/>
      <c r="G19" s="109"/>
      <c r="H19" s="109"/>
      <c r="I19" s="109"/>
      <c r="J19" s="128" t="str">
        <f>IF(C19 = "NON-COMPLIANT", "COMMENT REQUIRED", "")</f>
        <v/>
      </c>
    </row>
    <row r="20" spans="1:10" s="112" customFormat="1" ht="34.5" customHeight="1" thickBot="1" x14ac:dyDescent="0.3">
      <c r="A20" s="718" t="s">
        <v>512</v>
      </c>
      <c r="B20" s="719"/>
      <c r="C20" s="261"/>
      <c r="D20" s="122"/>
      <c r="E20" s="122"/>
      <c r="F20" s="122"/>
      <c r="G20" s="122"/>
      <c r="H20" s="144"/>
      <c r="I20" s="144"/>
      <c r="J20" s="129"/>
    </row>
    <row r="21" spans="1:10" s="112" customFormat="1" ht="97.5" customHeight="1" thickBot="1" x14ac:dyDescent="0.3">
      <c r="A21" s="481" t="s">
        <v>483</v>
      </c>
      <c r="B21" s="487" t="str">
        <f>IF('SFA PROCUREMENT TABLE'!$L$90= 0, ""," 11) [For cost-reimbursable contracts only]: Is the SFA compliant with including the required contract provisions in 7 CFR 210.21(f)?  (NOTE:  allowable costs net of discounts, rebates, "&amp;"credits with such identified on the bill/invoice; identify allowable and unallowable costs, if applicable, or cost determination and verification; frequency of reporting "&amp;"(not less than annually); maintain documentation of discounts, rebates, credits)  ")</f>
        <v xml:space="preserve"> 11) [For cost-reimbursable contracts only]: Is the SFA compliant with including the required contract provisions in 7 CFR 210.21(f)?  (NOTE:  allowable costs net of discounts, rebates, credits with such identified on the bill/invoice; identify allowable and unallowable costs, if applicable, or cost determination and verification; frequency of reporting (not less than annually); maintain documentation of discounts, rebates, credits)  </v>
      </c>
      <c r="C21" s="369"/>
      <c r="D21" s="109"/>
      <c r="E21" s="109"/>
      <c r="F21" s="109"/>
      <c r="G21" s="109"/>
      <c r="H21" s="109"/>
      <c r="I21" s="109"/>
      <c r="J21" s="128" t="str">
        <f>IF(C21 = "NON-COMPLIANT", "COMMENT REQUIRED", "")</f>
        <v/>
      </c>
    </row>
    <row r="22" spans="1:10" s="112" customFormat="1" ht="25.5" customHeight="1" thickBot="1" x14ac:dyDescent="0.3">
      <c r="A22" s="718" t="str">
        <f>IF('SFA PROCUREMENT TABLE'!$L$90=0,"", "Solicitation - Noncompetitive Proposals")</f>
        <v>Solicitation - Noncompetitive Proposals</v>
      </c>
      <c r="B22" s="719"/>
      <c r="C22" s="260"/>
      <c r="D22" s="135"/>
      <c r="E22" s="122"/>
      <c r="F22" s="122"/>
      <c r="G22" s="122"/>
      <c r="H22" s="122"/>
      <c r="I22" s="137"/>
      <c r="J22" s="111"/>
    </row>
    <row r="23" spans="1:10" s="112" customFormat="1" ht="120" customHeight="1" thickBot="1" x14ac:dyDescent="0.3">
      <c r="A23" s="481" t="s">
        <v>483</v>
      </c>
      <c r="B23" s="488" t="str">
        <f>IF('SFA PROCUREMENT TABLE'!$L$90= 0, ""," 12) If a noncompetitive method of procurement was used, is the SFA compliant with this use?  (NOTE: Noncompetitive Proposals are allowable only if: a) a public exigency/emergency"&amp;" did not permit a competitive solicitation; b) after solicitation of a number of sources, competition was inadequate; c) FNS or the State agency expressly authorized a "&amp;"noncompetitive proposal based on a written request from the SFA; d) The item was only available from a single source.    If noncompliant, describe in comments.) [2 CFR 200.320(f)(1-4)")</f>
        <v xml:space="preserve"> 12) If a noncompetitive method of procurement was used, is the SFA compliant with this use?  (NOTE: Noncompetitive Proposals are allowable only if: a) a public exigency/emergency did not permit a competitive solicitation; b) after solicitation of a number of sources, competition was inadequate; c) FNS or the State agency expressly authorized a noncompetitive proposal based on a written request from the SFA; d) The item was only available from a single source.    If noncompliant, describe in comments.) [2 CFR 200.320(f)(1-4)</v>
      </c>
      <c r="C23" s="369"/>
      <c r="D23" s="109"/>
      <c r="E23" s="109"/>
      <c r="F23" s="109"/>
      <c r="G23" s="109"/>
      <c r="H23" s="109"/>
      <c r="I23" s="109"/>
      <c r="J23" s="128" t="str">
        <f>IF(C23 = "NON-COMPLIANT", "COMMENT REQUIRED", "")</f>
        <v/>
      </c>
    </row>
    <row r="24" spans="1:10" s="112" customFormat="1" ht="24" customHeight="1" thickBot="1" x14ac:dyDescent="0.3">
      <c r="A24" s="724" t="s">
        <v>513</v>
      </c>
      <c r="B24" s="725"/>
      <c r="C24" s="276"/>
      <c r="D24" s="135"/>
      <c r="E24" s="122"/>
      <c r="F24" s="122"/>
      <c r="G24" s="110"/>
      <c r="H24" s="110"/>
      <c r="I24" s="137"/>
      <c r="J24" s="111"/>
    </row>
    <row r="25" spans="1:10" s="112" customFormat="1" ht="100.5" customHeight="1" x14ac:dyDescent="0.25">
      <c r="A25" s="457" t="s">
        <v>525</v>
      </c>
      <c r="B25" s="485" t="str">
        <f>IF('SFA PROCUREMENT TABLE'!$L$90= 0, ""," 13) Is the SFA compliant with opening all sealed bids at the time and place prescribed and evaluating as published and awarding contracts to the lowest responsive and responsible bidder/offeror "&amp;"most advantageous to the Program with price as the primary factor, and for food, compliance with Buy American, and geographic preference, if applicable ?  [2 CFR 200.320(c-d) and July 2005 "&amp;"Procurement Questions July 2005 and SP 12-2016, November 13, 2015]")</f>
        <v xml:space="preserve"> 13) Is the SFA compliant with opening all sealed bids at the time and place prescribed and evaluating as published and awarding contracts to the lowest responsive and responsible bidder/offeror most advantageous to the Program with price as the primary factor, and for food, compliance with Buy American, and geographic preference, if applicable ?  [2 CFR 200.320(c-d) and July 2005 Procurement Questions July 2005 and SP 12-2016, November 13, 2015]</v>
      </c>
      <c r="C25" s="369"/>
      <c r="D25" s="109"/>
      <c r="E25" s="109"/>
      <c r="F25" s="109"/>
      <c r="G25" s="109"/>
      <c r="H25" s="109"/>
      <c r="I25" s="109"/>
      <c r="J25" s="128" t="str">
        <f>IF(C25 = "NON-COMPLIANT", "COMMENT REQUIRED", "")</f>
        <v/>
      </c>
    </row>
    <row r="26" spans="1:10" s="112" customFormat="1" ht="48" customHeight="1" x14ac:dyDescent="0.25">
      <c r="A26" s="480"/>
      <c r="B26" s="472" t="str">
        <f>IF('SFA PROCUREMENT TABLE'!$L$90= 0, "","14) If any bids/offers were rejected, does the SFA have a sound and documented reason?  [2 CFR 200.320(c)(2)(v) ")</f>
        <v xml:space="preserve">14) If any bids/offers were rejected, does the SFA have a sound and documented reason?  [2 CFR 200.320(c)(2)(v) </v>
      </c>
      <c r="C26" s="369"/>
      <c r="D26" s="109"/>
      <c r="E26" s="109"/>
      <c r="F26" s="109"/>
      <c r="G26" s="109"/>
      <c r="H26" s="109"/>
      <c r="I26" s="109"/>
      <c r="J26" s="180"/>
    </row>
    <row r="27" spans="1:10" s="112" customFormat="1" ht="46.5" customHeight="1" x14ac:dyDescent="0.25">
      <c r="A27" s="481" t="s">
        <v>480</v>
      </c>
      <c r="B27" s="472" t="str">
        <f>IF('SFA PROCUREMENT TABLE'!$L$90= 0, "","15) If overly responsive bids/offers were received, did the SFA eliminate the bid/offer, or the overly responsive portion, when evaluating and awarding the contract?  (SP 12 2016)")</f>
        <v>15) If overly responsive bids/offers were received, did the SFA eliminate the bid/offer, or the overly responsive portion, when evaluating and awarding the contract?  (SP 12 2016)</v>
      </c>
      <c r="C27" s="369"/>
      <c r="D27" s="109"/>
      <c r="E27" s="109"/>
      <c r="F27" s="109"/>
      <c r="G27" s="109"/>
      <c r="H27" s="109"/>
      <c r="I27" s="109"/>
      <c r="J27" s="180"/>
    </row>
    <row r="28" spans="1:10" s="112" customFormat="1" ht="89.25" customHeight="1" x14ac:dyDescent="0.25">
      <c r="A28" s="481" t="s">
        <v>524</v>
      </c>
      <c r="B28" s="472" t="str">
        <f>IF('SFA PROCUREMENT TABLE'!$L$90= 0, "","16) If the solicitation included value-added language (broad language inviting incentives or investments), did the SFA include a criteria for how this will be evaluated and exclude all "&amp;"unallowable cost items prior to contract award? [SP 12 2016] (NOTE:  Unallowable costs are goods/services not required for the operation and improvement of the food service.)")</f>
        <v>16) If the solicitation included value-added language (broad language inviting incentives or investments), did the SFA include a criteria for how this will be evaluated and exclude all unallowable cost items prior to contract award? [SP 12 2016] (NOTE:  Unallowable costs are goods/services not required for the operation and improvement of the food service.)</v>
      </c>
      <c r="C28" s="369"/>
      <c r="D28" s="109"/>
      <c r="E28" s="109"/>
      <c r="F28" s="109"/>
      <c r="G28" s="109"/>
      <c r="H28" s="109"/>
      <c r="I28" s="109"/>
      <c r="J28" s="180"/>
    </row>
    <row r="29" spans="1:10" s="112" customFormat="1" ht="38.25" customHeight="1" thickBot="1" x14ac:dyDescent="0.3">
      <c r="A29" s="480"/>
      <c r="B29" s="483" t="s">
        <v>338</v>
      </c>
      <c r="C29" s="130"/>
      <c r="D29" s="291"/>
      <c r="E29" s="109" t="str">
        <f>IF(AND($C29 = "all are compliant", E$1 = "noncompliant party"), "N/A", "")</f>
        <v/>
      </c>
      <c r="F29" s="109" t="str">
        <f t="shared" ref="F29:I29" si="0">IF(AND($C29 = "all are compliant", F$5 = "noncompliant party"), "N/A", "")</f>
        <v/>
      </c>
      <c r="G29" s="109" t="str">
        <f t="shared" si="0"/>
        <v/>
      </c>
      <c r="H29" s="109" t="str">
        <f t="shared" si="0"/>
        <v/>
      </c>
      <c r="I29" s="109" t="str">
        <f t="shared" si="0"/>
        <v/>
      </c>
      <c r="J29" s="128"/>
    </row>
    <row r="30" spans="1:10" s="112" customFormat="1" ht="50.25" customHeight="1" thickBot="1" x14ac:dyDescent="0.3">
      <c r="A30" s="718" t="str">
        <f>IF('SFA PROCUREMENT TABLE'!$L$90=0,"", "CONTRACT MANAGEMENT PROCESS (FORMAL PROCEDURES)")</f>
        <v>CONTRACT MANAGEMENT PROCESS (FORMAL PROCEDURES)</v>
      </c>
      <c r="B30" s="719"/>
      <c r="C30" s="149"/>
      <c r="D30" s="135"/>
      <c r="E30" s="135"/>
      <c r="F30" s="135"/>
      <c r="G30" s="135"/>
      <c r="H30" s="135"/>
      <c r="I30" s="136"/>
      <c r="J30" s="111"/>
    </row>
    <row r="31" spans="1:10" s="112" customFormat="1" ht="113.25" customHeight="1" x14ac:dyDescent="0.25">
      <c r="A31" s="481" t="s">
        <v>483</v>
      </c>
      <c r="B31" s="484" t="str">
        <f>IF('SFA PROCUREMENT TABLE'!$L$90= 0, ""," 17) Based on a review of invoices/receipts, is the SFA compliant with monitoring contractors to ensure suppliers comply with terms, and conditions of contracts/purchase orders awarded? "&amp;"(2 CFR 200.318)  (Includes:  products/services and prices; Buy American (food) and geographic preference, if applicable; discounts, rebates, credits for cost-reimbursable contracts -identified "&amp;"on all vendor invoices submitted for payment etc.) [7 CFR  210.21(c and f)]  Include discrepancies in comments, if identified.")</f>
        <v xml:space="preserve"> 17) Based on a review of invoices/receipts, is the SFA compliant with monitoring contractors to ensure suppliers comply with terms, and conditions of contracts/purchase orders awarded? (2 CFR 200.318)  (Includes:  products/services and prices; Buy American (food) and geographic preference, if applicable; discounts, rebates, credits for cost-reimbursable contracts -identified on all vendor invoices submitted for payment etc.) [7 CFR  210.21(c and f)]  Include discrepancies in comments, if identified.</v>
      </c>
      <c r="C31" s="369"/>
      <c r="D31" s="109"/>
      <c r="E31" s="109"/>
      <c r="F31" s="109"/>
      <c r="G31" s="109"/>
      <c r="H31" s="109"/>
      <c r="I31" s="109"/>
      <c r="J31" s="128" t="str">
        <f>IF(C31 = "NON-COMPLIANT", "COMMENT REQUIRED", "")</f>
        <v/>
      </c>
    </row>
    <row r="32" spans="1:10" s="112" customFormat="1" ht="48" customHeight="1" x14ac:dyDescent="0.25">
      <c r="A32" s="481" t="s">
        <v>483</v>
      </c>
      <c r="B32" s="472" t="str">
        <f>IF('SFA PROCUREMENT TABLE'!$L$90= 0, "","18) Is the SFA compliant with the contract, renewal, or amendment for prohibiting unallowable cost provisions (scholarships, gifts, grants, event tickets, catering accounts, etc.) and/or creating a material change?")</f>
        <v>18) Is the SFA compliant with the contract, renewal, or amendment for prohibiting unallowable cost provisions (scholarships, gifts, grants, event tickets, catering accounts, etc.) and/or creating a material change?</v>
      </c>
      <c r="C32" s="369"/>
      <c r="D32" s="109"/>
      <c r="E32" s="109"/>
      <c r="F32" s="109"/>
      <c r="G32" s="109"/>
      <c r="H32" s="109"/>
      <c r="I32" s="109"/>
      <c r="J32" s="128"/>
    </row>
    <row r="33" spans="1:10" s="112" customFormat="1" ht="51.75" customHeight="1" x14ac:dyDescent="0.25">
      <c r="A33" s="481" t="s">
        <v>483</v>
      </c>
      <c r="B33" s="472" t="str">
        <f>IF('SFA PROCUREMENT TABLE'!$L$90= 0, "","19) Is the SFA compliant with awarding either fixed-price or cost-reimbursable contracts “cost-plus-a-percentage-of-cost” and/or “cost-plus-a-percentage-of-income” contract types are prohibited?  [7 CFR 210.16(c)]")</f>
        <v>19) Is the SFA compliant with awarding either fixed-price or cost-reimbursable contracts “cost-plus-a-percentage-of-cost” and/or “cost-plus-a-percentage-of-income” contract types are prohibited?  [7 CFR 210.16(c)]</v>
      </c>
      <c r="C33" s="369"/>
      <c r="D33" s="109"/>
      <c r="E33" s="109"/>
      <c r="F33" s="109"/>
      <c r="G33" s="109"/>
      <c r="H33" s="109"/>
      <c r="I33" s="109"/>
      <c r="J33" s="128"/>
    </row>
    <row r="34" spans="1:10" s="112" customFormat="1" ht="43.5" customHeight="1" x14ac:dyDescent="0.25">
      <c r="A34" s="481" t="s">
        <v>524</v>
      </c>
      <c r="B34" s="455" t="str">
        <f>IF('SFA PROCUREMENT TABLE'!$L$90= 0, "","20) Is the SFA compliant with maintaining records sufficient to detail the procurement history [2 CFR 200.318(i)")</f>
        <v>20) Is the SFA compliant with maintaining records sufficient to detail the procurement history [2 CFR 200.318(i)</v>
      </c>
      <c r="C34" s="369"/>
      <c r="D34" s="109"/>
      <c r="E34" s="109"/>
      <c r="F34" s="109"/>
      <c r="G34" s="109"/>
      <c r="H34" s="109"/>
      <c r="I34" s="109"/>
      <c r="J34" s="128"/>
    </row>
    <row r="35" spans="1:10" s="112" customFormat="1" ht="20.25" customHeight="1" thickBot="1" x14ac:dyDescent="0.3">
      <c r="A35" s="480"/>
      <c r="B35" s="523"/>
      <c r="C35" s="319"/>
      <c r="D35" s="320"/>
      <c r="E35" s="320"/>
      <c r="F35" s="321"/>
      <c r="G35" s="321"/>
      <c r="H35" s="321"/>
      <c r="I35" s="321"/>
      <c r="J35" s="321"/>
    </row>
    <row r="36" spans="1:10" s="112" customFormat="1" ht="39.75" customHeight="1" thickBot="1" x14ac:dyDescent="0.3">
      <c r="A36" s="722" t="str">
        <f>IF('SFA PROCUREMENT TABLE'!$L$90= 0, "","[NEW] STATE AGENCY INSTRUCTIONS:  For contracts selected for review that include processed end products using USDA Foods, the questions in the Processing Tab must be answered "&amp;"to complete the review of Processed USDA Foods.  ")</f>
        <v xml:space="preserve">[NEW] STATE AGENCY INSTRUCTIONS:  For contracts selected for review that include processed end products using USDA Foods, the questions in the Processing Tab must be answered to complete the review of Processed USDA Foods.  </v>
      </c>
      <c r="B36" s="723"/>
      <c r="C36" s="316"/>
      <c r="D36" s="317"/>
      <c r="E36" s="408"/>
      <c r="F36" s="318"/>
      <c r="G36" s="318"/>
      <c r="H36" s="318"/>
      <c r="I36" s="318"/>
      <c r="J36" s="318"/>
    </row>
    <row r="37" spans="1:10" s="107" customFormat="1" ht="63" customHeight="1" thickBot="1" x14ac:dyDescent="0.3">
      <c r="A37" s="479"/>
      <c r="B37" s="524" t="s">
        <v>338</v>
      </c>
      <c r="C37" s="152"/>
      <c r="D37" s="150"/>
      <c r="E37" s="145"/>
      <c r="F37" s="145"/>
      <c r="G37" s="145"/>
      <c r="H37" s="145"/>
      <c r="I37" s="145"/>
      <c r="J37" s="128"/>
    </row>
  </sheetData>
  <mergeCells count="15">
    <mergeCell ref="A9:B9"/>
    <mergeCell ref="A6:B6"/>
    <mergeCell ref="A30:B30"/>
    <mergeCell ref="A36:B36"/>
    <mergeCell ref="A24:B24"/>
    <mergeCell ref="A20:B20"/>
    <mergeCell ref="A22:B22"/>
    <mergeCell ref="J1:J5"/>
    <mergeCell ref="C1:C5"/>
    <mergeCell ref="D1:D5"/>
    <mergeCell ref="E1:E5"/>
    <mergeCell ref="F1:F5"/>
    <mergeCell ref="G1:G5"/>
    <mergeCell ref="H1:H5"/>
    <mergeCell ref="I1:I5"/>
  </mergeCells>
  <dataValidations count="1">
    <dataValidation sqref="B29:C29 E29:J29" xr:uid="{00000000-0002-0000-0B00-000000000000}"/>
  </dataValidations>
  <pageMargins left="0.7" right="0.7" top="0.75" bottom="0.75" header="0.3" footer="0.3"/>
  <pageSetup scale="32"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1000000}">
          <x14:formula1>
            <xm:f>Selection!$E$2:$E$8</xm:f>
          </x14:formula1>
          <xm:sqref>D25:I28 D23:I23 G22:H22 C22 D18:I21 D30:I34 D10:F17 G8:G17 H10:I17 H8:I8 D8:F8 D6:I7</xm:sqref>
        </x14:dataValidation>
        <x14:dataValidation type="list" allowBlank="1" showInputMessage="1" showErrorMessage="1" xr:uid="{00000000-0002-0000-0B00-000002000000}">
          <x14:formula1>
            <xm:f>Selection!$L$2:$L$4</xm:f>
          </x14:formula1>
          <xm:sqref>C6 C30 C20</xm:sqref>
        </x14:dataValidation>
        <x14:dataValidation type="list" allowBlank="1" showInputMessage="1" showErrorMessage="1" xr:uid="{00000000-0002-0000-0B00-000003000000}">
          <x14:formula1>
            <xm:f>'Data sets '!$A$220:$A$222</xm:f>
          </x14:formula1>
          <xm:sqref>C7:C8 C10:C19 C21 C23 C25:C28 C31:C34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Y47"/>
  <sheetViews>
    <sheetView topLeftCell="A34" zoomScaleNormal="100" workbookViewId="0">
      <selection activeCell="B22" sqref="B22"/>
    </sheetView>
  </sheetViews>
  <sheetFormatPr defaultColWidth="9.140625" defaultRowHeight="15.75" x14ac:dyDescent="0.25"/>
  <cols>
    <col min="1" max="1" width="12.7109375" bestFit="1" customWidth="1"/>
    <col min="2" max="2" width="151.5703125" style="11" customWidth="1"/>
    <col min="3" max="3" width="41.140625" style="189" customWidth="1"/>
    <col min="4" max="4" width="22" style="189" customWidth="1"/>
    <col min="5" max="5" width="20.7109375" style="189" customWidth="1"/>
    <col min="6" max="7" width="22" style="189" customWidth="1"/>
    <col min="8" max="8" width="42" style="49" customWidth="1"/>
    <col min="9" max="25" width="9.140625" style="1"/>
    <col min="26" max="16384" width="9.140625" style="11"/>
  </cols>
  <sheetData>
    <row r="1" spans="1:25" ht="36" customHeight="1" thickBot="1" x14ac:dyDescent="0.3">
      <c r="A1" s="734" t="str">
        <f>IF('SFA PROCUREMENT TABLE'!$L$101=0,"SKIP - NO FSMCs SELECTED FOR REVIEW",'SFA PROCUREMENT TABLE'!$A$1:$D$1&amp;" - "&amp;"Food Service Management Company Contract(s)")</f>
        <v xml:space="preserve"> - Food Service Management Company Contract(s)</v>
      </c>
      <c r="B1" s="735"/>
      <c r="C1" s="726" t="s">
        <v>349</v>
      </c>
      <c r="D1" s="727" t="str">
        <f>IF('SFA PROCUREMENT TABLE'!$L$101=0,"SKIP - NO FSMCs SELECTED FOR REVIEW",IF('SFA PROCUREMENT TABLE'!$L$101&gt;1,"Noncompliant Party", ""))</f>
        <v/>
      </c>
      <c r="E1" s="727" t="str">
        <f>IF('SFA PROCUREMENT TABLE'!$L$101=0,"SKIP - NO FSMCs SELECTED FOR REVIEW",IF('SFA PROCUREMENT TABLE'!$L$101&gt;1,"Noncompliant Party", ""))</f>
        <v/>
      </c>
      <c r="F1" s="727" t="str">
        <f>IF('SFA PROCUREMENT TABLE'!$L$101=0,"SKIP - NO FSMCs SELECTED FOR REVIEW",IF('SFA PROCUREMENT TABLE'!$L$101&gt;1,"Noncompliant Party", ""))</f>
        <v/>
      </c>
      <c r="G1" s="727" t="str">
        <f>IF('SFA PROCUREMENT TABLE'!$L$101=0,"SKIP - NO FSMCs SELECTED FOR REVIEW",IF('SFA PROCUREMENT TABLE'!$L$101&gt;1,"Noncompliant Party", ""))</f>
        <v/>
      </c>
      <c r="H1" s="727" t="s">
        <v>38</v>
      </c>
    </row>
    <row r="2" spans="1:25" ht="70.5" customHeight="1" x14ac:dyDescent="0.25">
      <c r="A2" s="738" t="s">
        <v>514</v>
      </c>
      <c r="B2" s="739"/>
      <c r="C2" s="716"/>
      <c r="D2" s="709"/>
      <c r="E2" s="709"/>
      <c r="F2" s="709"/>
      <c r="G2" s="709"/>
      <c r="H2" s="709"/>
    </row>
    <row r="3" spans="1:25" ht="177" customHeight="1" thickBot="1" x14ac:dyDescent="0.3">
      <c r="A3" s="740" t="s">
        <v>526</v>
      </c>
      <c r="B3" s="741"/>
      <c r="C3" s="717"/>
      <c r="D3" s="710"/>
      <c r="E3" s="710"/>
      <c r="F3" s="710"/>
      <c r="G3" s="710"/>
      <c r="H3" s="710"/>
    </row>
    <row r="4" spans="1:25" s="107" customFormat="1" ht="27" customHeight="1" x14ac:dyDescent="0.25">
      <c r="A4" s="742" t="str">
        <f>IF('SFA PROCUREMENT TABLE'!$L$101=0,"", "Section A: State Agency Review of FSMC Contract Amendments Approved by SFA During Renewal Years")</f>
        <v>Section A: State Agency Review of FSMC Contract Amendments Approved by SFA During Renewal Years</v>
      </c>
      <c r="B4" s="743"/>
      <c r="C4" s="155"/>
      <c r="D4" s="153"/>
      <c r="E4" s="143"/>
      <c r="F4" s="143"/>
      <c r="G4" s="396"/>
      <c r="H4" s="98"/>
      <c r="I4" s="93"/>
      <c r="J4" s="93"/>
      <c r="K4" s="93"/>
      <c r="L4" s="93"/>
      <c r="M4" s="93"/>
      <c r="N4" s="93"/>
      <c r="O4" s="93"/>
      <c r="P4" s="93"/>
      <c r="Q4" s="93"/>
      <c r="R4" s="93"/>
      <c r="S4" s="93"/>
      <c r="T4" s="93"/>
      <c r="U4" s="93"/>
      <c r="V4" s="93"/>
      <c r="W4" s="93"/>
      <c r="X4" s="93"/>
      <c r="Y4" s="93"/>
    </row>
    <row r="5" spans="1:25" s="112" customFormat="1" ht="29.25" customHeight="1" thickBot="1" x14ac:dyDescent="0.3">
      <c r="A5" s="744" t="s">
        <v>407</v>
      </c>
      <c r="B5" s="745"/>
      <c r="C5" s="151"/>
      <c r="D5" s="154"/>
      <c r="E5" s="110"/>
      <c r="F5" s="110"/>
      <c r="G5" s="321"/>
      <c r="H5" s="98"/>
      <c r="I5" s="118"/>
      <c r="J5" s="118"/>
      <c r="K5" s="118"/>
      <c r="L5" s="118"/>
      <c r="M5" s="118"/>
      <c r="N5" s="118"/>
      <c r="O5" s="118"/>
      <c r="P5" s="118"/>
      <c r="Q5" s="118"/>
      <c r="R5" s="118"/>
      <c r="S5" s="118"/>
      <c r="T5" s="118"/>
      <c r="U5" s="118"/>
      <c r="V5" s="118"/>
      <c r="W5" s="118"/>
      <c r="X5" s="118"/>
      <c r="Y5" s="118"/>
    </row>
    <row r="6" spans="1:25" s="112" customFormat="1" ht="34.5" customHeight="1" x14ac:dyDescent="0.25">
      <c r="A6" s="74"/>
      <c r="B6" s="492" t="str">
        <f>IF('SFA PROCUREMENT TABLE'!$L$101= 0, "","1) Were amendments made to the contract without State agency prior approval?")</f>
        <v>1) Were amendments made to the contract without State agency prior approval?</v>
      </c>
      <c r="C6" s="292"/>
      <c r="D6" s="109"/>
      <c r="E6" s="109"/>
      <c r="F6" s="109"/>
      <c r="G6" s="145"/>
      <c r="H6" s="108"/>
      <c r="I6" s="118"/>
      <c r="J6" s="118"/>
      <c r="K6" s="118"/>
      <c r="L6" s="118"/>
      <c r="M6" s="118"/>
      <c r="N6" s="118"/>
      <c r="O6" s="118"/>
      <c r="P6" s="118"/>
      <c r="Q6" s="118"/>
      <c r="R6" s="118"/>
      <c r="S6" s="118"/>
      <c r="T6" s="118"/>
      <c r="U6" s="118"/>
      <c r="V6" s="118"/>
      <c r="W6" s="118"/>
      <c r="X6" s="118"/>
      <c r="Y6" s="118"/>
    </row>
    <row r="7" spans="1:25" s="112" customFormat="1" ht="84" customHeight="1" x14ac:dyDescent="0.25">
      <c r="A7" s="437" t="s">
        <v>483</v>
      </c>
      <c r="B7" s="108" t="str">
        <f>IF('SFA PROCUREMENT TABLE'!$L$101= 0, ""," a.) If amendments were made, was a material change made?  (NOTE:  Compare all amendments to the original contract to determine if a material change in scope was made such as "&amp;"the addition of other Programs, adding other parties not included in solicitation, investments such as capital equipment, adjustments for which prior approval "&amp;"was not obtained by the State agency or increases in the contract amount to more than the Simplified Acquisition Threshold (2 CFR 200.324(b)(5) or other changes "&amp;"otherwise specified in the solicitation/contract.) (If a material change was made, this is a finding requiring a new solicitation.)")</f>
        <v xml:space="preserve"> a.) If amendments were made, was a material change made?  (NOTE:  Compare all amendments to the original contract to determine if a material change in scope was made such as the addition of other Programs, adding other parties not included in solicitation, investments such as capital equipment, adjustments for which prior approval was not obtained by the State agency or increases in the contract amount to more than the Simplified Acquisition Threshold (2 CFR 200.324(b)(5) or other changes otherwise specified in the solicitation/contract.) (If a material change was made, this is a finding requiring a new solicitation.)</v>
      </c>
      <c r="C7" s="292"/>
      <c r="D7" s="109" t="s">
        <v>531</v>
      </c>
      <c r="E7" s="109"/>
      <c r="F7" s="109"/>
      <c r="G7" s="145"/>
      <c r="H7" s="108"/>
      <c r="I7" s="118"/>
      <c r="J7" s="118"/>
      <c r="K7" s="118"/>
      <c r="L7" s="118"/>
      <c r="M7" s="118"/>
      <c r="N7" s="118"/>
      <c r="O7" s="118"/>
      <c r="P7" s="118"/>
      <c r="Q7" s="118"/>
      <c r="R7" s="118"/>
      <c r="S7" s="118"/>
      <c r="T7" s="118"/>
      <c r="U7" s="118"/>
      <c r="V7" s="118"/>
      <c r="W7" s="118"/>
      <c r="X7" s="118"/>
      <c r="Y7" s="118"/>
    </row>
    <row r="8" spans="1:25" s="112" customFormat="1" ht="44.25" customHeight="1" thickBot="1" x14ac:dyDescent="0.3">
      <c r="A8" s="74"/>
      <c r="B8" s="493" t="str">
        <f>IF('SFA PROCUREMENT TABLE'!$L$101= 0, "","2) Is the SFA compliant with excluding unallowable costs added to the contract? [NOTE: scholarships, grants, gifts, playground equipment, scoreboards, etc. "&amp;"The nonprofit food service account is only for operating and improving the food service.] ")</f>
        <v xml:space="preserve">2) Is the SFA compliant with excluding unallowable costs added to the contract? [NOTE: scholarships, grants, gifts, playground equipment, scoreboards, etc. The nonprofit food service account is only for operating and improving the food service.] </v>
      </c>
      <c r="C8" s="369"/>
      <c r="D8" s="109"/>
      <c r="E8" s="109"/>
      <c r="F8" s="109"/>
      <c r="G8" s="145"/>
      <c r="H8" s="108"/>
      <c r="I8" s="118"/>
      <c r="J8" s="118"/>
      <c r="K8" s="118"/>
      <c r="L8" s="118"/>
      <c r="M8" s="118"/>
      <c r="N8" s="118"/>
      <c r="O8" s="118"/>
      <c r="P8" s="118"/>
      <c r="Q8" s="118"/>
      <c r="R8" s="118"/>
      <c r="S8" s="118"/>
      <c r="T8" s="118"/>
      <c r="U8" s="118"/>
      <c r="V8" s="118"/>
      <c r="W8" s="118"/>
      <c r="X8" s="118"/>
      <c r="Y8" s="118"/>
    </row>
    <row r="9" spans="1:25" s="112" customFormat="1" ht="24.75" customHeight="1" thickBot="1" x14ac:dyDescent="0.3">
      <c r="A9" s="724" t="s">
        <v>418</v>
      </c>
      <c r="B9" s="725"/>
      <c r="C9" s="260"/>
      <c r="D9" s="154"/>
      <c r="E9" s="110"/>
      <c r="F9" s="110"/>
      <c r="G9" s="321"/>
      <c r="H9" s="110"/>
      <c r="I9" s="118"/>
      <c r="J9" s="118"/>
      <c r="K9" s="118"/>
      <c r="L9" s="118"/>
      <c r="M9" s="118"/>
      <c r="N9" s="118"/>
      <c r="O9" s="118"/>
      <c r="P9" s="118"/>
      <c r="Q9" s="118"/>
      <c r="R9" s="118"/>
      <c r="S9" s="118"/>
      <c r="T9" s="118"/>
      <c r="U9" s="118"/>
      <c r="V9" s="118"/>
      <c r="W9" s="118"/>
      <c r="X9" s="118"/>
      <c r="Y9" s="118"/>
    </row>
    <row r="10" spans="1:25" s="112" customFormat="1" ht="48" customHeight="1" x14ac:dyDescent="0.25">
      <c r="A10" s="437" t="s">
        <v>480</v>
      </c>
      <c r="B10" s="492" t="str">
        <f>IF('SFA PROCUREMENT TABLE'!$L$101= 0, ""," 3). Is the SFA compliant with ensuring the FSMC operates in conformance with the SFA-State agency agreement:  (NOTE: FSMC is contracted to operate only "&amp;"approved Programs and State agency agreement provisions as follows. This entails having an SFA employee/official:   (see a-e below) [7 CFR210.16(a)(2)]")</f>
        <v xml:space="preserve"> 3). Is the SFA compliant with ensuring the FSMC operates in conformance with the SFA-State agency agreement:  (NOTE: FSMC is contracted to operate only approved Programs and State agency agreement provisions as follows. This entails having an SFA employee/official:   (see a-e below) [7 CFR210.16(a)(2)]</v>
      </c>
      <c r="C10" s="369"/>
      <c r="D10" s="109"/>
      <c r="E10" s="109"/>
      <c r="F10" s="109"/>
      <c r="G10" s="145"/>
      <c r="H10" s="108"/>
      <c r="I10" s="118"/>
      <c r="J10" s="118"/>
      <c r="K10" s="118"/>
      <c r="L10" s="118"/>
      <c r="M10" s="118"/>
      <c r="N10" s="118"/>
      <c r="O10" s="118"/>
      <c r="P10" s="118"/>
      <c r="Q10" s="118"/>
      <c r="R10" s="118"/>
      <c r="S10" s="118"/>
      <c r="T10" s="118"/>
      <c r="U10" s="118"/>
      <c r="V10" s="118"/>
      <c r="W10" s="118"/>
      <c r="X10" s="118"/>
      <c r="Y10" s="118"/>
    </row>
    <row r="11" spans="1:25" s="112" customFormat="1" ht="57" customHeight="1" x14ac:dyDescent="0.25">
      <c r="A11" s="437" t="s">
        <v>481</v>
      </c>
      <c r="B11" s="439" t="str">
        <f>IF('SFA PROCUREMENT TABLE'!$L$101= 0, "","a. retains signature authority of agreement, F/R policy, and claims? (7 CFR 210.16(a)(5)) (NOTE:  SFA employee is the approving official for the free/reduced "&amp;"eligibility applications, direct certification process, benefits issuance list, submission of claims for reimbursement, and verification requirements? Check agreement/State system, "&amp;"record official name, confirm if SFA or FSMC employee.)")</f>
        <v>a. retains signature authority of agreement, F/R policy, and claims? (7 CFR 210.16(a)(5)) (NOTE:  SFA employee is the approving official for the free/reduced eligibility applications, direct certification process, benefits issuance list, submission of claims for reimbursement, and verification requirements? Check agreement/State system, record official name, confirm if SFA or FSMC employee.)</v>
      </c>
      <c r="C11" s="369" t="s">
        <v>432</v>
      </c>
      <c r="D11" s="109" t="s">
        <v>479</v>
      </c>
      <c r="E11" s="109"/>
      <c r="F11" s="109"/>
      <c r="G11" s="145"/>
      <c r="H11" s="108"/>
      <c r="I11" s="118"/>
      <c r="J11" s="118"/>
      <c r="K11" s="118"/>
      <c r="L11" s="118"/>
      <c r="M11" s="118"/>
      <c r="N11" s="118"/>
      <c r="O11" s="118"/>
      <c r="P11" s="118"/>
      <c r="Q11" s="118"/>
      <c r="R11" s="118"/>
      <c r="S11" s="118"/>
      <c r="T11" s="118"/>
      <c r="U11" s="118"/>
      <c r="V11" s="118"/>
      <c r="W11" s="118"/>
      <c r="X11" s="118"/>
      <c r="Y11" s="118"/>
    </row>
    <row r="12" spans="1:25" s="112" customFormat="1" ht="63" customHeight="1" x14ac:dyDescent="0.25">
      <c r="A12" s="437" t="s">
        <v>480</v>
      </c>
      <c r="B12" s="190" t="str">
        <f>IF('SFA PROCUREMENT TABLE'!$L$101= 0, "","b. conducts periodic on-site monitoring visits of each site where meals are served? [7 CFR 210.16(a)(3) (NOTE:  Review SFA documentation confirming visits, record "&amp;"issues noted and corrected, total number of visits, and ensure all sites were visited at least 1 time per year.  Monitoring may include, but is not limited to:  "&amp;"meal counting by student eligibility; compliance with the meal pattern and 21-day cycle menu as approved in the IFB/RFP, or amended with SFA approval)] ")</f>
        <v xml:space="preserve">b. conducts periodic on-site monitoring visits of each site where meals are served? [7 CFR 210.16(a)(3) (NOTE:  Review SFA documentation confirming visits, record issues noted and corrected, total number of visits, and ensure all sites were visited at least 1 time per year.  Monitoring may include, but is not limited to:  meal counting by student eligibility; compliance with the meal pattern and 21-day cycle menu as approved in the IFB/RFP, or amended with SFA approval)] </v>
      </c>
      <c r="C12" s="369" t="s">
        <v>432</v>
      </c>
      <c r="D12" s="109" t="s">
        <v>530</v>
      </c>
      <c r="E12" s="109"/>
      <c r="F12" s="109"/>
      <c r="G12" s="145"/>
      <c r="H12" s="108"/>
      <c r="I12" s="118"/>
      <c r="J12" s="118"/>
      <c r="K12" s="118"/>
      <c r="L12" s="118"/>
      <c r="M12" s="118"/>
      <c r="N12" s="118"/>
      <c r="O12" s="118"/>
      <c r="P12" s="118"/>
      <c r="Q12" s="118"/>
      <c r="R12" s="118"/>
      <c r="S12" s="118"/>
      <c r="T12" s="118"/>
      <c r="U12" s="118"/>
      <c r="V12" s="118"/>
      <c r="W12" s="118"/>
      <c r="X12" s="118"/>
      <c r="Y12" s="118"/>
    </row>
    <row r="13" spans="1:25" s="112" customFormat="1" ht="44.25" customHeight="1" x14ac:dyDescent="0.25">
      <c r="A13" s="437" t="s">
        <v>480</v>
      </c>
      <c r="B13" s="190" t="str">
        <f>IF('SFA PROCUREMENT TABLE'!$L$101= 0, "","c. retains control of meal quality, extent, general nature of food service, and meal prices? (7 CFR 210.16(a)(4) (NOTE:  Board minutes document price changes approved by Board.)")</f>
        <v>c. retains control of meal quality, extent, general nature of food service, and meal prices? (7 CFR 210.16(a)(4) (NOTE:  Board minutes document price changes approved by Board.)</v>
      </c>
      <c r="C13" s="369"/>
      <c r="D13" s="109"/>
      <c r="E13" s="109"/>
      <c r="F13" s="109"/>
      <c r="G13" s="145"/>
      <c r="H13" s="108"/>
      <c r="I13" s="118"/>
      <c r="J13" s="118"/>
      <c r="K13" s="118"/>
      <c r="L13" s="118"/>
      <c r="M13" s="118"/>
      <c r="N13" s="118"/>
      <c r="O13" s="118"/>
      <c r="P13" s="118"/>
      <c r="Q13" s="118"/>
      <c r="R13" s="118"/>
      <c r="S13" s="118"/>
      <c r="T13" s="118"/>
      <c r="U13" s="118"/>
      <c r="V13" s="118"/>
      <c r="W13" s="118"/>
      <c r="X13" s="118"/>
      <c r="Y13" s="118"/>
    </row>
    <row r="14" spans="1:25" s="112" customFormat="1" ht="36.75" customHeight="1" x14ac:dyDescent="0.25">
      <c r="A14" s="437" t="s">
        <v>480</v>
      </c>
      <c r="B14" s="190" t="str">
        <f>IF('SFA PROCUREMENT TABLE'!$L$101= 0, "","d. ensures the FSMC maintains applicable health certification meeting all State/local requirements at all locations serving meals (7 CFR 210.16(a)(7))")</f>
        <v>d. ensures the FSMC maintains applicable health certification meeting all State/local requirements at all locations serving meals (7 CFR 210.16(a)(7))</v>
      </c>
      <c r="C14" s="369"/>
      <c r="D14" s="109"/>
      <c r="E14" s="109"/>
      <c r="F14" s="109"/>
      <c r="G14" s="145"/>
      <c r="H14" s="108"/>
      <c r="I14" s="118"/>
      <c r="J14" s="118"/>
      <c r="K14" s="118"/>
      <c r="L14" s="118"/>
      <c r="M14" s="118"/>
      <c r="N14" s="118"/>
      <c r="O14" s="118"/>
      <c r="P14" s="118"/>
      <c r="Q14" s="118"/>
      <c r="R14" s="118"/>
      <c r="S14" s="118"/>
      <c r="T14" s="118"/>
      <c r="U14" s="118"/>
      <c r="V14" s="118"/>
      <c r="W14" s="118"/>
      <c r="X14" s="118"/>
      <c r="Y14" s="118"/>
    </row>
    <row r="15" spans="1:25" s="112" customFormat="1" ht="36" customHeight="1" x14ac:dyDescent="0.25">
      <c r="A15" s="437" t="s">
        <v>480</v>
      </c>
      <c r="B15" s="190" t="str">
        <f>IF('SFA PROCUREMENT TABLE'!$L$101= 0, "","e. establishes an advisory board composed of parents, teachers, and students to assist in menu planning? (7 CFR 210.16(a)(8))")</f>
        <v>e. establishes an advisory board composed of parents, teachers, and students to assist in menu planning? (7 CFR 210.16(a)(8))</v>
      </c>
      <c r="C15" s="369"/>
      <c r="D15" s="109"/>
      <c r="E15" s="109"/>
      <c r="F15" s="109"/>
      <c r="G15" s="145"/>
      <c r="H15" s="108"/>
      <c r="I15" s="118"/>
      <c r="J15" s="118"/>
      <c r="K15" s="118"/>
      <c r="L15" s="118"/>
      <c r="M15" s="118"/>
      <c r="N15" s="118"/>
      <c r="O15" s="118"/>
      <c r="P15" s="118"/>
      <c r="Q15" s="118"/>
      <c r="R15" s="118"/>
      <c r="S15" s="118"/>
      <c r="T15" s="118"/>
      <c r="U15" s="118"/>
      <c r="V15" s="118"/>
      <c r="W15" s="118"/>
      <c r="X15" s="118"/>
      <c r="Y15" s="118"/>
    </row>
    <row r="16" spans="1:25" s="112" customFormat="1" ht="84.75" customHeight="1" thickBot="1" x14ac:dyDescent="0.3">
      <c r="A16" s="437" t="s">
        <v>480</v>
      </c>
      <c r="B16" s="493" t="str">
        <f>IF('SFA PROCUREMENT TABLE'!$L$101= 0, ""," 4).  Is the SFA compliant with monitoring the FSMC to ensure the FSMC purchases domestic foods? (Domestic foods are produced and processed in the United States, "&amp;"and for processed foods, contain over 51% domestic food components, by weight or volume, to comply with the Buy American provision? [(7 CFR 210.21(d) and SP38-2017, Compliance with and Enforcement "&amp;"of the Buy American Provision dated June 30, 2017]   (NOTE:  Refer to the Administrative Review Manual, Food Safety, Storage, and Buy American to answer this question.)")</f>
        <v xml:space="preserve"> 4).  Is the SFA compliant with monitoring the FSMC to ensure the FSMC purchases domestic foods? (Domestic foods are produced and processed in the United States, and for processed foods, contain over 51% domestic food components, by weight or volume, to comply with the Buy American provision? [(7 CFR 210.21(d) and SP38-2017, Compliance with and Enforcement of the Buy American Provision dated June 30, 2017]   (NOTE:  Refer to the Administrative Review Manual, Food Safety, Storage, and Buy American to answer this question.)</v>
      </c>
      <c r="C16" s="369"/>
      <c r="D16" s="109"/>
      <c r="E16" s="109"/>
      <c r="F16" s="109"/>
      <c r="G16" s="145"/>
      <c r="H16" s="108"/>
      <c r="I16" s="118"/>
      <c r="J16" s="118"/>
      <c r="K16" s="118"/>
      <c r="L16" s="118"/>
      <c r="M16" s="118"/>
      <c r="N16" s="118"/>
      <c r="O16" s="118"/>
      <c r="P16" s="118"/>
      <c r="Q16" s="118"/>
      <c r="R16" s="118"/>
      <c r="S16" s="118"/>
      <c r="T16" s="118"/>
      <c r="U16" s="118"/>
      <c r="V16" s="118"/>
      <c r="W16" s="118"/>
      <c r="X16" s="118"/>
      <c r="Y16" s="118"/>
    </row>
    <row r="17" spans="1:25" s="112" customFormat="1" ht="33.75" customHeight="1" thickBot="1" x14ac:dyDescent="0.3">
      <c r="A17" s="732" t="s">
        <v>408</v>
      </c>
      <c r="B17" s="733"/>
      <c r="C17" s="260"/>
      <c r="D17" s="154"/>
      <c r="E17" s="110"/>
      <c r="F17" s="110"/>
      <c r="G17" s="321"/>
      <c r="H17" s="108"/>
      <c r="I17" s="118"/>
      <c r="J17" s="118"/>
      <c r="K17" s="118"/>
      <c r="L17" s="118"/>
      <c r="M17" s="118"/>
      <c r="N17" s="118"/>
      <c r="O17" s="118"/>
      <c r="P17" s="118"/>
      <c r="Q17" s="118"/>
      <c r="R17" s="118"/>
      <c r="S17" s="118"/>
      <c r="T17" s="118"/>
      <c r="U17" s="118"/>
      <c r="V17" s="118"/>
      <c r="W17" s="118"/>
      <c r="X17" s="118"/>
      <c r="Y17" s="118"/>
    </row>
    <row r="18" spans="1:25" s="112" customFormat="1" ht="68.25" customHeight="1" thickBot="1" x14ac:dyDescent="0.3">
      <c r="A18" s="491" t="s">
        <v>480</v>
      </c>
      <c r="B18" s="496" t="str">
        <f>IF('SFA PROCUREMENT TABLE'!$L$101= 0, ""," 5.  Is the SFA compliant with monitoring the FSMC agreement requirements in (7 CFR 210.16(c)(1-3)) to maintain records to support the SFAs Claim for Reimbursement and providing "&amp;"SFA claim information promptly at the end of each month and upon request; having compliant health certifications; no spoiled or unwholesome meals; or meals not meeting SFA food component specifications?" )</f>
        <v xml:space="preserve"> 5.  Is the SFA compliant with monitoring the FSMC agreement requirements in (7 CFR 210.16(c)(1-3)) to maintain records to support the SFAs Claim for Reimbursement and providing SFA claim information promptly at the end of each month and upon request; having compliant health certifications; no spoiled or unwholesome meals; or meals not meeting SFA food component specifications?</v>
      </c>
      <c r="C18" s="369"/>
      <c r="D18" s="109"/>
      <c r="E18" s="109"/>
      <c r="F18" s="109"/>
      <c r="G18" s="145"/>
      <c r="H18" s="108"/>
      <c r="I18" s="118"/>
      <c r="J18" s="118"/>
      <c r="K18" s="118"/>
      <c r="L18" s="118"/>
      <c r="M18" s="118"/>
      <c r="N18" s="118"/>
      <c r="O18" s="118"/>
      <c r="P18" s="118"/>
      <c r="Q18" s="118"/>
      <c r="R18" s="118"/>
      <c r="S18" s="118"/>
      <c r="T18" s="118"/>
      <c r="U18" s="118"/>
      <c r="V18" s="118"/>
      <c r="W18" s="118"/>
      <c r="X18" s="118"/>
      <c r="Y18" s="118"/>
    </row>
    <row r="19" spans="1:25" s="112" customFormat="1" ht="32.25" customHeight="1" thickBot="1" x14ac:dyDescent="0.3">
      <c r="A19" s="730" t="s">
        <v>393</v>
      </c>
      <c r="B19" s="731"/>
      <c r="C19" s="130"/>
      <c r="D19" s="109"/>
      <c r="E19" s="109"/>
      <c r="F19" s="109"/>
      <c r="G19" s="145"/>
      <c r="H19" s="108"/>
      <c r="I19" s="118"/>
      <c r="J19" s="118"/>
      <c r="K19" s="118"/>
      <c r="L19" s="118"/>
      <c r="M19" s="118"/>
      <c r="N19" s="118"/>
      <c r="O19" s="118"/>
      <c r="P19" s="118"/>
      <c r="Q19" s="118"/>
      <c r="R19" s="118"/>
      <c r="S19" s="118"/>
      <c r="T19" s="118"/>
      <c r="U19" s="118"/>
      <c r="V19" s="118"/>
      <c r="W19" s="118"/>
      <c r="X19" s="118"/>
      <c r="Y19" s="118"/>
    </row>
    <row r="20" spans="1:25" s="112" customFormat="1" ht="38.450000000000003" customHeight="1" thickBot="1" x14ac:dyDescent="0.3">
      <c r="A20" s="732" t="s">
        <v>515</v>
      </c>
      <c r="B20" s="733"/>
      <c r="C20" s="149"/>
      <c r="D20" s="135"/>
      <c r="E20" s="122"/>
      <c r="F20" s="122"/>
      <c r="G20" s="137"/>
      <c r="H20" s="98"/>
      <c r="I20" s="118"/>
      <c r="J20" s="118"/>
      <c r="K20" s="118"/>
      <c r="L20" s="118"/>
      <c r="M20" s="118"/>
      <c r="N20" s="118"/>
      <c r="O20" s="118"/>
      <c r="P20" s="118"/>
      <c r="Q20" s="118"/>
      <c r="R20" s="118"/>
      <c r="S20" s="118"/>
      <c r="T20" s="118"/>
      <c r="U20" s="118"/>
      <c r="V20" s="118"/>
      <c r="W20" s="118"/>
      <c r="X20" s="118"/>
      <c r="Y20" s="118"/>
    </row>
    <row r="21" spans="1:25" s="112" customFormat="1" ht="64.900000000000006" customHeight="1" x14ac:dyDescent="0.25">
      <c r="A21" s="437" t="s">
        <v>483</v>
      </c>
      <c r="B21" s="492" t="str">
        <f>IF('SFA PROCUREMENT TABLE'!$L$101= 0, "","6. Is the SFA compliant with annually and at contract termination, ensuring the value of USDA Foods accrues to the NFSA and these are fully utilized? [7 CFR 210.16(a)(6) and 7 CFR "&amp;"250.54.(c) and 250.51(a)].  (NOTE:  Review SFA reconciliation of planned assistance with USDA Foods credits using FSMC invoices.  (NOTE: Both fixed price &amp; cost reimbursable contracts. (Note discrepancies in comments.) ")</f>
        <v xml:space="preserve">6. Is the SFA compliant with annually and at contract termination, ensuring the value of USDA Foods accrues to the NFSA and these are fully utilized? [7 CFR 210.16(a)(6) and 7 CFR 250.54.(c) and 250.51(a)].  (NOTE:  Review SFA reconciliation of planned assistance with USDA Foods credits using FSMC invoices.  (NOTE: Both fixed price &amp; cost reimbursable contracts. (Note discrepancies in comments.) </v>
      </c>
      <c r="C21" s="369"/>
      <c r="D21" s="109"/>
      <c r="E21" s="109"/>
      <c r="F21" s="109"/>
      <c r="G21" s="145"/>
      <c r="H21" s="108"/>
      <c r="I21" s="118"/>
      <c r="J21" s="118"/>
      <c r="K21" s="118"/>
      <c r="L21" s="118"/>
      <c r="M21" s="118"/>
      <c r="N21" s="118"/>
      <c r="O21" s="118"/>
      <c r="P21" s="118"/>
      <c r="Q21" s="118"/>
      <c r="R21" s="118"/>
      <c r="S21" s="118"/>
      <c r="T21" s="118"/>
      <c r="U21" s="118"/>
      <c r="V21" s="118"/>
      <c r="W21" s="118"/>
      <c r="X21" s="118"/>
      <c r="Y21" s="118"/>
    </row>
    <row r="22" spans="1:25" s="112" customFormat="1" ht="46.9" customHeight="1" x14ac:dyDescent="0.25">
      <c r="A22" s="437" t="s">
        <v>483</v>
      </c>
      <c r="B22" s="190" t="str">
        <f>IF('SFA PROCUREMENT TABLE'!$L$101= 0, "","a) If yes above, is the SFA compliant with receiving the full value of USDA Foods from the FSMC in relation to their planned assistance level provided by the State Distributing Agency? ")</f>
        <v xml:space="preserve">a) If yes above, is the SFA compliant with receiving the full value of USDA Foods from the FSMC in relation to their planned assistance level provided by the State Distributing Agency? </v>
      </c>
      <c r="C22" s="369"/>
      <c r="D22" s="109"/>
      <c r="E22" s="109"/>
      <c r="F22" s="109"/>
      <c r="G22" s="145"/>
      <c r="H22" s="108"/>
      <c r="I22" s="118"/>
      <c r="J22" s="118"/>
      <c r="K22" s="118"/>
      <c r="L22" s="118"/>
      <c r="M22" s="118"/>
      <c r="N22" s="118"/>
      <c r="O22" s="118"/>
      <c r="P22" s="118"/>
      <c r="Q22" s="118"/>
      <c r="R22" s="118"/>
      <c r="S22" s="118"/>
      <c r="T22" s="118"/>
      <c r="U22" s="118"/>
      <c r="V22" s="118"/>
      <c r="W22" s="118"/>
      <c r="X22" s="118"/>
      <c r="Y22" s="118"/>
    </row>
    <row r="23" spans="1:25" s="112" customFormat="1" ht="43.5" customHeight="1" thickBot="1" x14ac:dyDescent="0.3">
      <c r="A23" s="437" t="s">
        <v>483</v>
      </c>
      <c r="B23" s="493" t="str">
        <f>IF('SFA PROCUREMENT TABLE'!$L$101= 0, "","b) If no above, (did not receive the full value of USDA Foods from the FSMC), is the SFA compliant with pursuing the variance with the FSMC and State Distributing Agency to come to a resolution?")</f>
        <v>b) If no above, (did not receive the full value of USDA Foods from the FSMC), is the SFA compliant with pursuing the variance with the FSMC and State Distributing Agency to come to a resolution?</v>
      </c>
      <c r="C23" s="369"/>
      <c r="D23" s="109"/>
      <c r="E23" s="109"/>
      <c r="F23" s="109"/>
      <c r="G23" s="145"/>
      <c r="H23" s="108"/>
      <c r="I23" s="118"/>
      <c r="J23" s="118"/>
      <c r="K23" s="118"/>
      <c r="L23" s="118"/>
      <c r="M23" s="118"/>
      <c r="N23" s="118"/>
      <c r="O23" s="118"/>
      <c r="P23" s="118"/>
      <c r="Q23" s="118"/>
      <c r="R23" s="118"/>
      <c r="S23" s="118"/>
      <c r="T23" s="118"/>
      <c r="U23" s="118"/>
      <c r="V23" s="118"/>
      <c r="W23" s="118"/>
      <c r="X23" s="118"/>
      <c r="Y23" s="118"/>
    </row>
    <row r="24" spans="1:25" s="112" customFormat="1" ht="46.9" customHeight="1" thickBot="1" x14ac:dyDescent="0.3">
      <c r="A24" s="730" t="s">
        <v>337</v>
      </c>
      <c r="B24" s="731"/>
      <c r="C24" s="152"/>
      <c r="D24" s="109"/>
      <c r="E24" s="109"/>
      <c r="F24" s="109"/>
      <c r="G24" s="145"/>
      <c r="H24" s="115"/>
      <c r="I24" s="118"/>
      <c r="J24" s="118"/>
      <c r="K24" s="118"/>
      <c r="L24" s="118"/>
      <c r="M24" s="118"/>
      <c r="N24" s="118"/>
      <c r="O24" s="118"/>
      <c r="P24" s="118"/>
      <c r="Q24" s="118"/>
      <c r="R24" s="118"/>
      <c r="S24" s="118"/>
      <c r="T24" s="118"/>
      <c r="U24" s="118"/>
      <c r="V24" s="118"/>
      <c r="W24" s="118"/>
      <c r="X24" s="118"/>
      <c r="Y24" s="118"/>
    </row>
    <row r="25" spans="1:25" s="49" customFormat="1" ht="154.5" customHeight="1" thickBot="1" x14ac:dyDescent="0.3">
      <c r="A25" s="736" t="s">
        <v>516</v>
      </c>
      <c r="B25" s="737"/>
      <c r="C25" s="283"/>
      <c r="D25" s="283"/>
      <c r="E25" s="283"/>
      <c r="F25" s="283"/>
      <c r="G25" s="283"/>
      <c r="H25" s="401"/>
      <c r="I25" s="48"/>
      <c r="J25" s="48"/>
      <c r="K25" s="48"/>
      <c r="L25" s="48"/>
      <c r="M25" s="48"/>
      <c r="N25" s="48"/>
      <c r="O25" s="48"/>
      <c r="P25" s="48"/>
      <c r="Q25" s="48"/>
      <c r="R25" s="48"/>
      <c r="S25" s="48"/>
      <c r="T25" s="48"/>
      <c r="U25" s="48"/>
      <c r="V25" s="48"/>
      <c r="W25" s="48"/>
      <c r="X25" s="48"/>
      <c r="Y25" s="48"/>
    </row>
    <row r="26" spans="1:25" s="49" customFormat="1" ht="50.45" customHeight="1" x14ac:dyDescent="0.25">
      <c r="A26" s="491" t="s">
        <v>483</v>
      </c>
      <c r="B26" s="498" t="str">
        <f>IF('SFA PROCUREMENT TABLE'!$L$101=0,""," 7. Is the SFA compliant with not paying any funds to the FSMC from the NFSA prior to the approval of the FSMC contract AND IN SUBSEQUENT YEARS, RENEWALS/ AMENDMENTS? "&amp;"(NOTE:  Review by checking 1st invoice in the base year. Recording information such as amount paid/date of payment/invoice # in comments helps verify finding.) ")</f>
        <v xml:space="preserve"> 7. Is the SFA compliant with not paying any funds to the FSMC from the NFSA prior to the approval of the FSMC contract AND IN SUBSEQUENT YEARS, RENEWALS/ AMENDMENTS? (NOTE:  Review by checking 1st invoice in the base year. Recording information such as amount paid/date of payment/invoice # in comments helps verify finding.) </v>
      </c>
      <c r="C26" s="369"/>
      <c r="D26" s="285"/>
      <c r="E26" s="286"/>
      <c r="F26" s="286"/>
      <c r="G26" s="397"/>
      <c r="H26" s="401"/>
      <c r="I26" s="48"/>
      <c r="J26" s="48"/>
      <c r="K26" s="48"/>
      <c r="L26" s="48"/>
      <c r="M26" s="48"/>
      <c r="N26" s="48"/>
      <c r="O26" s="48"/>
      <c r="P26" s="48"/>
      <c r="Q26" s="48"/>
      <c r="R26" s="48"/>
      <c r="S26" s="48"/>
      <c r="T26" s="48"/>
      <c r="U26" s="48"/>
      <c r="V26" s="48"/>
      <c r="W26" s="48"/>
      <c r="X26" s="48"/>
      <c r="Y26" s="48"/>
    </row>
    <row r="27" spans="1:25" s="49" customFormat="1" ht="72.75" customHeight="1" x14ac:dyDescent="0.25">
      <c r="A27" s="497" t="s">
        <v>527</v>
      </c>
      <c r="B27" s="333" t="str">
        <f>IF('SFA PROCUREMENT TABLE'!$L$101= 0, "","8. Is the SFA compliant with monitoring FSMC invoices submitted to account for rebates, discounts and credits for commercially purchased foods (cost-reimbursable contracts)"&amp;" and for USDA Foods (fixed-price and cost-reimbursable contracts)? (NOTE: Fixed price contract, pre-crediting of USDA Foods is allowed IF in the SFA solicitation/contract. "&amp;"If no language on pre-crediting exists, credits must be disclosed [on invoices] (method and frequency designated in the solicitation and is not less than annually). ")</f>
        <v xml:space="preserve">8. Is the SFA compliant with monitoring FSMC invoices submitted to account for rebates, discounts and credits for commercially purchased foods (cost-reimbursable contracts) and for USDA Foods (fixed-price and cost-reimbursable contracts)? (NOTE: Fixed price contract, pre-crediting of USDA Foods is allowed IF in the SFA solicitation/contract. If no language on pre-crediting exists, credits must be disclosed [on invoices] (method and frequency designated in the solicitation and is not less than annually). </v>
      </c>
      <c r="C27" s="369"/>
      <c r="D27" s="285"/>
      <c r="E27" s="286"/>
      <c r="F27" s="286"/>
      <c r="G27" s="397"/>
      <c r="H27" s="401"/>
      <c r="I27" s="48"/>
      <c r="J27" s="48"/>
      <c r="K27" s="48"/>
      <c r="L27" s="48"/>
      <c r="M27" s="48"/>
      <c r="N27" s="48"/>
      <c r="O27" s="48"/>
      <c r="P27" s="48"/>
      <c r="Q27" s="48"/>
      <c r="R27" s="48"/>
      <c r="S27" s="48"/>
      <c r="T27" s="48"/>
      <c r="U27" s="48"/>
      <c r="V27" s="48"/>
      <c r="W27" s="48"/>
      <c r="X27" s="48"/>
      <c r="Y27" s="48"/>
    </row>
    <row r="28" spans="1:25" s="49" customFormat="1" ht="43.5" customHeight="1" x14ac:dyDescent="0.25">
      <c r="A28" s="491" t="s">
        <v>480</v>
      </c>
      <c r="B28" s="338" t="str">
        <f>IF('SFA PROCUREMENT TABLE'!$L$101= 0, ""," 9. Cost-reimbursable contracts:  Is the SFA compliant with validating FSMC invoices are actual and allowable expenses billed to the NSFSA prior to payment from NSFSA? "&amp;"(Check invoices for validation statement and if discrepancies, record invoice date/#.) (2 CFR 200.403 and 200.405)")</f>
        <v xml:space="preserve"> 9. Cost-reimbursable contracts:  Is the SFA compliant with validating FSMC invoices are actual and allowable expenses billed to the NSFSA prior to payment from NSFSA? (Check invoices for validation statement and if discrepancies, record invoice date/#.) (2 CFR 200.403 and 200.405)</v>
      </c>
      <c r="C28" s="369"/>
      <c r="D28" s="284"/>
      <c r="E28" s="251"/>
      <c r="F28" s="251"/>
      <c r="G28" s="398"/>
      <c r="H28" s="401"/>
      <c r="I28" s="48"/>
      <c r="J28" s="48"/>
      <c r="K28" s="48"/>
      <c r="L28" s="48"/>
      <c r="M28" s="48"/>
      <c r="N28" s="48"/>
      <c r="O28" s="48"/>
      <c r="P28" s="48"/>
      <c r="Q28" s="48"/>
      <c r="R28" s="48"/>
      <c r="S28" s="48"/>
      <c r="T28" s="48"/>
      <c r="U28" s="48"/>
      <c r="V28" s="48"/>
      <c r="W28" s="48"/>
      <c r="X28" s="48"/>
      <c r="Y28" s="48"/>
    </row>
    <row r="29" spans="1:25" ht="35.25" customHeight="1" x14ac:dyDescent="0.25">
      <c r="A29" s="491" t="s">
        <v>524</v>
      </c>
      <c r="B29" s="124" t="str">
        <f>IF('SFA PROCUREMENT TABLE'!$L$101= 0, ""," 10. Is the SFA compliant with maintaining on-site records to document expenses (i.e., food, supply, labor, etc. invoices) provided by the FSMC?  (NOTE: Check recordkeeping system. [7 CFR 210.16(c)(1)) &amp; 210.23(c)]")</f>
        <v xml:space="preserve"> 10. Is the SFA compliant with maintaining on-site records to document expenses (i.e., food, supply, labor, etc. invoices) provided by the FSMC?  (NOTE: Check recordkeeping system. [7 CFR 210.16(c)(1)) &amp; 210.23(c)]</v>
      </c>
      <c r="C29" s="369"/>
      <c r="D29" s="278"/>
      <c r="E29" s="278"/>
      <c r="F29" s="278"/>
      <c r="G29" s="399"/>
      <c r="H29" s="401"/>
    </row>
    <row r="30" spans="1:25" ht="63.75" customHeight="1" x14ac:dyDescent="0.25">
      <c r="A30" s="491" t="s">
        <v>480</v>
      </c>
      <c r="B30" s="332" t="str">
        <f>IF('SFA PROCUREMENT TABLE'!$L$101= 0, ""," 11. [Cost-reimbursable contracts]:  If the FSMC employs the food service staff, is the SFA compliant with auditing time reports on FSMC invoices submitted to the SFA to "&amp;"ensure only actual work hours are billed and does the SFA validate invoices submitted to SFA to ensure expenses are not double billed (EX. billed as operating "&amp;"expense in more than one category or billed as operating expense and as an administrative expense)?  (NOTE:  Review one timesheet, as applicable.  Note discrepancies in comments.) (2016 FSMC Handbook for SFAs, Appendix H)")</f>
        <v xml:space="preserve"> 11. [Cost-reimbursable contracts]:  If the FSMC employs the food service staff, is the SFA compliant with auditing time reports on FSMC invoices submitted to the SFA to ensure only actual work hours are billed and does the SFA validate invoices submitted to SFA to ensure expenses are not double billed (EX. billed as operating expense in more than one category or billed as operating expense and as an administrative expense)?  (NOTE:  Review one timesheet, as applicable.  Note discrepancies in comments.) (2016 FSMC Handbook for SFAs, Appendix H)</v>
      </c>
      <c r="C30" s="369"/>
      <c r="D30" s="277"/>
      <c r="E30" s="277"/>
      <c r="F30" s="277"/>
      <c r="G30" s="400"/>
      <c r="H30" s="401"/>
    </row>
    <row r="31" spans="1:25" ht="65.25" customHeight="1" thickBot="1" x14ac:dyDescent="0.3">
      <c r="A31" s="497" t="s">
        <v>528</v>
      </c>
      <c r="B31" s="334" t="str">
        <f>IF('SFA PROCUREMENT TABLE'!$L$101= 0, "","12. Is the SFA compliant with contract monitoring? [2 CFR 200.318(b)] Review FSMC invoices to ensure the method of paying FSMC is correct as specified in the solicitation and contract,  "&amp;"the value of USDA Foods is credited (fixed-price and cost-reimbursable contracts), and discounts, rebates, and credits are reported and credited according to the "&amp;"frequency in cost-reimbursable contracts. (NOTE:   Payments must not be prorated based on an estimated average annual value unless this was specified in the"&amp;" solicitation and all prorated payments are reconciled prior to the end of the year to ensure the FSMC is paid the correct amount owed.)")</f>
        <v>12. Is the SFA compliant with contract monitoring? [2 CFR 200.318(b)] Review FSMC invoices to ensure the method of paying FSMC is correct as specified in the solicitation and contract,  the value of USDA Foods is credited (fixed-price and cost-reimbursable contracts), and discounts, rebates, and credits are reported and credited according to the frequency in cost-reimbursable contracts. (NOTE:   Payments must not be prorated based on an estimated average annual value unless this was specified in the solicitation and all prorated payments are reconciled prior to the end of the year to ensure the FSMC is paid the correct amount owed.)</v>
      </c>
      <c r="C31" s="369"/>
      <c r="D31" s="277"/>
      <c r="E31" s="277"/>
      <c r="F31" s="277"/>
      <c r="G31" s="400"/>
      <c r="H31" s="128" t="str">
        <f>IF(C31 = "NON-COMPLIANT", "COMMENT REQUIRED", "")</f>
        <v/>
      </c>
    </row>
    <row r="32" spans="1:25" ht="47.25" x14ac:dyDescent="0.25">
      <c r="A32" s="491" t="s">
        <v>524</v>
      </c>
      <c r="B32" s="324" t="str">
        <f>IF('SFA PROCUREMENT TABLE'!$L$101= 0, "","13. Is the SFA compliant with monitoring the FSMC to ensure domestic foods are purchased? (NOTE:  Domestic foods are foods produced and processed in the U.S substantially using "&amp;"over 51% domestic foods by weight or volume (‘Buy American’). [7 CFR 210.21 and SP38-2017, Compliance with and Enforcement of the Buy American Provision, June 30, 2017]")</f>
        <v>13. Is the SFA compliant with monitoring the FSMC to ensure domestic foods are purchased? (NOTE:  Domestic foods are foods produced and processed in the U.S substantially using over 51% domestic foods by weight or volume (‘Buy American’). [7 CFR 210.21 and SP38-2017, Compliance with and Enforcement of the Buy American Provision, June 30, 2017]</v>
      </c>
      <c r="C32" s="369"/>
      <c r="D32" s="277"/>
      <c r="E32" s="277"/>
      <c r="F32" s="277"/>
      <c r="G32" s="400"/>
      <c r="H32" s="401"/>
    </row>
    <row r="33" spans="1:8" ht="39.75" customHeight="1" thickBot="1" x14ac:dyDescent="0.3">
      <c r="A33" s="491" t="s">
        <v>524</v>
      </c>
      <c r="B33" s="495" t="str">
        <f>IF('SFA PROCUREMENT TABLE'!$L$101= 0, "","14. FOR COST REIMBURSABLE CONTRACTS ONLY:  Is the SFA compliant with monitoring FSMC invoices to ensure they pay ‘cost’ for the goods/services billed for payment?  (FSMC Handbook for SFAs pg. 37) ")</f>
        <v xml:space="preserve">14. FOR COST REIMBURSABLE CONTRACTS ONLY:  Is the SFA compliant with monitoring FSMC invoices to ensure they pay ‘cost’ for the goods/services billed for payment?  (FSMC Handbook for SFAs pg. 37) </v>
      </c>
      <c r="C33" s="369"/>
      <c r="D33" s="277"/>
      <c r="E33" s="277"/>
      <c r="F33" s="277"/>
      <c r="G33" s="400"/>
      <c r="H33" s="401"/>
    </row>
    <row r="34" spans="1:8" ht="16.5" thickBot="1" x14ac:dyDescent="0.3">
      <c r="A34" s="728" t="s">
        <v>394</v>
      </c>
      <c r="B34" s="729"/>
      <c r="C34" s="494"/>
      <c r="D34" s="277"/>
      <c r="E34" s="277"/>
      <c r="F34" s="277"/>
      <c r="G34" s="400"/>
      <c r="H34" s="401"/>
    </row>
    <row r="35" spans="1:8" x14ac:dyDescent="0.25">
      <c r="B35" s="1"/>
      <c r="C35" s="35"/>
      <c r="D35" s="35"/>
      <c r="E35" s="35"/>
      <c r="F35" s="35"/>
      <c r="G35" s="35"/>
      <c r="H35" s="48"/>
    </row>
    <row r="36" spans="1:8" x14ac:dyDescent="0.25">
      <c r="B36" s="1"/>
      <c r="C36" s="35"/>
      <c r="D36" s="35"/>
      <c r="E36" s="35"/>
      <c r="F36" s="35"/>
      <c r="G36" s="35"/>
      <c r="H36" s="48"/>
    </row>
    <row r="37" spans="1:8" x14ac:dyDescent="0.25">
      <c r="B37" s="1"/>
      <c r="C37" s="35"/>
      <c r="D37" s="35"/>
      <c r="E37" s="35"/>
      <c r="F37" s="35"/>
      <c r="G37" s="35"/>
      <c r="H37" s="48"/>
    </row>
    <row r="38" spans="1:8" x14ac:dyDescent="0.25">
      <c r="B38" s="1"/>
      <c r="C38" s="35"/>
      <c r="D38" s="35"/>
      <c r="E38" s="35"/>
      <c r="F38" s="35"/>
      <c r="G38" s="35"/>
      <c r="H38" s="48"/>
    </row>
    <row r="39" spans="1:8" x14ac:dyDescent="0.25">
      <c r="B39" s="1"/>
      <c r="C39" s="35"/>
      <c r="D39" s="35"/>
      <c r="E39" s="35"/>
      <c r="F39" s="35"/>
      <c r="G39" s="35"/>
      <c r="H39" s="48"/>
    </row>
    <row r="40" spans="1:8" x14ac:dyDescent="0.25">
      <c r="B40" s="1"/>
      <c r="C40" s="35"/>
      <c r="D40" s="35"/>
      <c r="E40" s="35"/>
      <c r="F40" s="35"/>
      <c r="G40" s="35"/>
      <c r="H40" s="48"/>
    </row>
    <row r="41" spans="1:8" x14ac:dyDescent="0.25">
      <c r="B41" s="1"/>
      <c r="C41" s="35"/>
      <c r="D41" s="35"/>
      <c r="E41" s="35"/>
      <c r="F41" s="35"/>
      <c r="G41" s="35"/>
      <c r="H41" s="48"/>
    </row>
    <row r="42" spans="1:8" x14ac:dyDescent="0.25">
      <c r="B42" s="1"/>
      <c r="C42" s="35"/>
      <c r="D42" s="35"/>
      <c r="E42" s="35"/>
      <c r="F42" s="35"/>
      <c r="G42" s="35"/>
      <c r="H42" s="48"/>
    </row>
    <row r="43" spans="1:8" x14ac:dyDescent="0.25">
      <c r="B43" s="1"/>
      <c r="C43" s="35"/>
      <c r="D43" s="35"/>
      <c r="E43" s="35"/>
      <c r="F43" s="35"/>
      <c r="G43" s="35"/>
      <c r="H43" s="48"/>
    </row>
    <row r="44" spans="1:8" x14ac:dyDescent="0.25">
      <c r="B44" s="1"/>
      <c r="C44" s="35"/>
      <c r="D44" s="35"/>
      <c r="E44" s="35"/>
      <c r="F44" s="35"/>
      <c r="G44" s="35"/>
      <c r="H44" s="48"/>
    </row>
    <row r="45" spans="1:8" x14ac:dyDescent="0.25">
      <c r="B45" s="1"/>
      <c r="C45" s="35"/>
      <c r="D45" s="35"/>
      <c r="E45" s="35"/>
      <c r="F45" s="35"/>
      <c r="G45" s="35"/>
      <c r="H45" s="48"/>
    </row>
    <row r="46" spans="1:8" x14ac:dyDescent="0.25">
      <c r="B46" s="1"/>
      <c r="C46" s="35"/>
      <c r="D46" s="35"/>
      <c r="E46" s="35"/>
      <c r="F46" s="35"/>
      <c r="G46" s="35"/>
      <c r="H46" s="48"/>
    </row>
    <row r="47" spans="1:8" x14ac:dyDescent="0.25">
      <c r="B47" s="1"/>
      <c r="C47" s="35"/>
      <c r="D47" s="35"/>
      <c r="E47" s="35"/>
      <c r="F47" s="35"/>
      <c r="G47" s="35"/>
      <c r="H47" s="48"/>
    </row>
  </sheetData>
  <mergeCells count="18">
    <mergeCell ref="A34:B34"/>
    <mergeCell ref="A19:B19"/>
    <mergeCell ref="A17:B17"/>
    <mergeCell ref="A20:B20"/>
    <mergeCell ref="A1:B1"/>
    <mergeCell ref="A25:B25"/>
    <mergeCell ref="A24:B24"/>
    <mergeCell ref="A2:B2"/>
    <mergeCell ref="A3:B3"/>
    <mergeCell ref="A4:B4"/>
    <mergeCell ref="A5:B5"/>
    <mergeCell ref="A9:B9"/>
    <mergeCell ref="C1:C3"/>
    <mergeCell ref="H1:H3"/>
    <mergeCell ref="D1:D3"/>
    <mergeCell ref="E1:E3"/>
    <mergeCell ref="F1:F3"/>
    <mergeCell ref="G1:G3"/>
  </mergeCells>
  <dataValidations count="1">
    <dataValidation type="list" allowBlank="1" showInputMessage="1" showErrorMessage="1" sqref="H27 H20 H24" xr:uid="{00000000-0002-0000-0C00-000000000000}">
      <formula1>three</formula1>
    </dataValidation>
  </dataValidations>
  <pageMargins left="0.7" right="0.7" top="0.75" bottom="0.75" header="0.3" footer="0.3"/>
  <pageSetup scale="60"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C00-000001000000}">
          <x14:formula1>
            <xm:f>Selection!$L$2:$L$4</xm:f>
          </x14:formula1>
          <xm:sqref>C19 C9 C17</xm:sqref>
        </x14:dataValidation>
        <x14:dataValidation type="list" allowBlank="1" showInputMessage="1" showErrorMessage="1" xr:uid="{00000000-0002-0000-0C00-000002000000}">
          <x14:formula1>
            <xm:f>Selection!$E$2:$E$8</xm:f>
          </x14:formula1>
          <xm:sqref>D17:G17 D9:H9</xm:sqref>
        </x14:dataValidation>
        <x14:dataValidation type="list" allowBlank="1" showInputMessage="1" showErrorMessage="1" xr:uid="{00000000-0002-0000-0C00-000003000000}">
          <x14:formula1>
            <xm:f>'Data sets '!$A$225:$A$227</xm:f>
          </x14:formula1>
          <xm:sqref>C6</xm:sqref>
        </x14:dataValidation>
        <x14:dataValidation type="list" allowBlank="1" showInputMessage="1" showErrorMessage="1" xr:uid="{00000000-0002-0000-0C00-000004000000}">
          <x14:formula1>
            <xm:f>'Data sets '!$A$220:$A$222</xm:f>
          </x14:formula1>
          <xm:sqref>C8 C10:C16 C18 C21:C23 C26:C33</xm:sqref>
        </x14:dataValidation>
        <x14:dataValidation type="list" allowBlank="1" showInputMessage="1" showErrorMessage="1" xr:uid="{00000000-0002-0000-0C00-000005000000}">
          <x14:formula1>
            <xm:f>'Data sets '!$A$228:$A$230</xm:f>
          </x14:formula1>
          <xm:sqref>C7</xm:sqref>
        </x14:dataValidation>
        <x14:dataValidation type="list" allowBlank="1" showInputMessage="1" showErrorMessage="1" xr:uid="{00000000-0002-0000-0C00-000006000000}">
          <x14:formula1>
            <xm:f>Selection!$G$2:$G$7</xm:f>
          </x14:formula1>
          <xm:sqref>D6:G8 D10:G16 D18:G19 D21:G24</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J28"/>
  <sheetViews>
    <sheetView topLeftCell="A13" zoomScale="85" zoomScaleNormal="85" workbookViewId="0">
      <selection activeCell="B19" sqref="B19"/>
    </sheetView>
  </sheetViews>
  <sheetFormatPr defaultColWidth="9.140625" defaultRowHeight="15.75" x14ac:dyDescent="0.25"/>
  <cols>
    <col min="1" max="1" width="12.7109375" bestFit="1" customWidth="1"/>
    <col min="2" max="2" width="168.28515625" style="1" customWidth="1"/>
    <col min="3" max="3" width="34.42578125" style="1" bestFit="1" customWidth="1"/>
    <col min="4" max="9" width="32.42578125" style="35" customWidth="1"/>
    <col min="10" max="36" width="9.140625" style="1"/>
    <col min="37" max="16384" width="9.140625" style="11"/>
  </cols>
  <sheetData>
    <row r="1" spans="1:36" ht="36" customHeight="1" thickBot="1" x14ac:dyDescent="0.3">
      <c r="A1" s="748" t="str">
        <f>IF('SFA PROCUREMENT TABLE'!$J$125=0,"SKIP - NO CONTRACTS SELECTED FOR REVIEW", 'SFA PROCUREMENT TABLE'!$A$1:$D$1&amp;" - "&amp;"Processing Contracts Review")</f>
        <v xml:space="preserve"> - Processing Contracts Review</v>
      </c>
      <c r="B1" s="749"/>
      <c r="C1" s="703" t="s">
        <v>349</v>
      </c>
      <c r="D1" s="706" t="str">
        <f>IF('SFA PROCUREMENT TABLE'!$J$125=0,"SKIP - NO CONTRACTS SELECTED FOR REVIEW",IF('SFA PROCUREMENT TABLE'!$J$125&gt;0,"Noncompliant Party", ""))</f>
        <v>Noncompliant Party</v>
      </c>
      <c r="E1" s="709" t="str">
        <f>IF('SFA PROCUREMENT TABLE'!$J$125=0,"SKIP - NO CONTRACTS SELECTED FOR REVIEW",IF('SFA PROCUREMENT TABLE'!$J$125&gt;1,"Noncompliant Party", ""))</f>
        <v/>
      </c>
      <c r="F1" s="709" t="str">
        <f>IF('SFA PROCUREMENT TABLE'!$J$125=0,"SKIP - NO CONTRACTS SELECTED FOR REVIEW",IF('SFA PROCUREMENT TABLE'!$J$125&gt;1,"Noncompliant Party", ""))</f>
        <v/>
      </c>
      <c r="G1" s="709" t="str">
        <f>IF('SFA PROCUREMENT TABLE'!$J$125=0,"SKIP - NO CONTRACTS SELECTED FOR REVIEW",IF('SFA PROCUREMENT TABLE'!$J$125&gt;1,"Noncompliant Party", ""))</f>
        <v/>
      </c>
      <c r="H1" s="709" t="str">
        <f>IF('SFA PROCUREMENT TABLE'!$J$125=0,"SKIP - NO CONTRACTS SELECTED FOR REVIEW",IF('SFA PROCUREMENT TABLE'!$J$125&gt;1,"Noncompliant Party", ""))</f>
        <v/>
      </c>
      <c r="I1" s="709" t="s">
        <v>38</v>
      </c>
    </row>
    <row r="2" spans="1:36" ht="35.25" customHeight="1" thickBot="1" x14ac:dyDescent="0.3">
      <c r="A2" s="750" t="s">
        <v>416</v>
      </c>
      <c r="B2" s="751"/>
      <c r="C2" s="703"/>
      <c r="D2" s="706"/>
      <c r="E2" s="709"/>
      <c r="F2" s="709"/>
      <c r="G2" s="709"/>
      <c r="H2" s="709"/>
      <c r="I2" s="709"/>
    </row>
    <row r="3" spans="1:36" ht="187.5" customHeight="1" thickBot="1" x14ac:dyDescent="0.3">
      <c r="A3" s="752" t="s">
        <v>944</v>
      </c>
      <c r="B3" s="753"/>
      <c r="C3" s="704"/>
      <c r="D3" s="707"/>
      <c r="E3" s="710"/>
      <c r="F3" s="710"/>
      <c r="G3" s="710"/>
      <c r="H3" s="710"/>
      <c r="I3" s="710"/>
    </row>
    <row r="4" spans="1:36" s="120" customFormat="1" ht="60" customHeight="1" thickBot="1" x14ac:dyDescent="0.3">
      <c r="B4" s="527" t="str">
        <f>IF('SFA PROCUREMENT TABLE'!$J$125=0, "", "1) If the SFA received processed products only via processors contracted by the State Distributing agency, is the SFA compliant with actively using USDA Foods and processed"&amp;" end products as evidenced by the SFA's inventory level during the review period?  (NOTE: An excessive or unused pounds/inventory at the processor (&gt; 6 "&amp;"months based on average monthly usage).  No is a finding [7 CFR 250.30(n)] (There is no intent for the State agency to calculate a 6 month inventory, rather, to consider if usage is being monitored.)")</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C4" s="499"/>
      <c r="D4" s="109" t="s">
        <v>531</v>
      </c>
      <c r="E4" s="109"/>
      <c r="F4" s="109"/>
      <c r="G4" s="109"/>
      <c r="H4" s="109"/>
      <c r="I4" s="109" t="str">
        <f t="shared" ref="I4" si="0">IF(AND($C4 = "all are compliant", I$3 = "noncompliant party"), "N/A", "")</f>
        <v/>
      </c>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row>
    <row r="5" spans="1:36" s="120" customFormat="1" ht="78" customHeight="1" thickBot="1" x14ac:dyDescent="0.3">
      <c r="A5" s="754" t="s">
        <v>945</v>
      </c>
      <c r="B5" s="755"/>
      <c r="C5" s="500"/>
      <c r="D5" s="430"/>
      <c r="E5" s="430"/>
      <c r="F5" s="430"/>
      <c r="G5" s="430"/>
      <c r="H5" s="282"/>
      <c r="I5" s="282"/>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row>
    <row r="6" spans="1:36" s="120" customFormat="1" ht="32.25" thickBot="1" x14ac:dyDescent="0.3">
      <c r="A6" s="450" t="s">
        <v>529</v>
      </c>
      <c r="B6" s="501" t="str">
        <f>IF('SFA PROCUREMENT TABLE'!$J$125=0, "", " 2) Is the SFA compliant with soliciting for and receiving SDA approved USDA Foods processed end products and only the approved value pass-through (VPT) methods? (NOTE:  VPT= rebate, net-off invoice, fee for service, etc.  No is a finding) [7 CFR 250.2])")</f>
        <v xml:space="preserve"> 2) Is the SFA compliant with soliciting for and receiving SDA approved USDA Foods processed end products and only the approved value pass-through (VPT) methods? (NOTE:  VPT= rebate, net-off invoice, fee for service, etc.  No is a finding) [7 CFR 250.2])</v>
      </c>
      <c r="C6" s="369"/>
      <c r="D6" s="109" t="s">
        <v>531</v>
      </c>
      <c r="E6" s="109"/>
      <c r="F6" s="109"/>
      <c r="G6" s="109"/>
      <c r="H6" s="109"/>
      <c r="I6" s="282"/>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row>
    <row r="7" spans="1:36" s="120" customFormat="1" ht="21.75" customHeight="1" thickBot="1" x14ac:dyDescent="0.3">
      <c r="A7" s="724" t="str">
        <f>IF('SFA PROCUREMENT TABLE'!$J$125=0,"", "Section C: Evaluation and Contract Award")</f>
        <v>Section C: Evaluation and Contract Award</v>
      </c>
      <c r="B7" s="725"/>
      <c r="C7" s="131"/>
      <c r="D7" s="136"/>
      <c r="E7" s="137"/>
      <c r="F7" s="137"/>
      <c r="G7" s="137"/>
      <c r="H7" s="137"/>
      <c r="I7" s="137"/>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row>
    <row r="8" spans="1:36" s="120" customFormat="1" ht="32.25" thickBot="1" x14ac:dyDescent="0.3">
      <c r="A8" s="467"/>
      <c r="B8" s="496" t="str">
        <f>IF('SFA PROCUREMENT TABLE'!$J$125=0, "", "3) FOR USDA FOODS ONLY: Is the SFA compliant with ensuring the value pass-through method in the solicitation and contract match?  (NOTE:  Q assumes the SFA is procuring "&amp;"commodity processed end products and commercial purchases from a distributor in the same solicitation)  (NOTE:  NO is a finding.)")</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C8" s="369"/>
      <c r="D8" s="109"/>
      <c r="E8" s="109"/>
      <c r="F8" s="109"/>
      <c r="G8" s="109"/>
      <c r="H8" s="109"/>
      <c r="I8" s="282"/>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row>
    <row r="9" spans="1:36" s="107" customFormat="1" ht="27.75" customHeight="1" thickBot="1" x14ac:dyDescent="0.3">
      <c r="A9" s="730" t="str">
        <f>IF('SFA PROCUREMENT TABLE'!$J$125=0,"", "ADDITIONAL COMMENTS:  ")</f>
        <v xml:space="preserve">ADDITIONAL COMMENTS:  </v>
      </c>
      <c r="B9" s="731"/>
      <c r="C9" s="132"/>
      <c r="D9" s="109"/>
      <c r="E9" s="109"/>
      <c r="F9" s="109"/>
      <c r="G9" s="109"/>
      <c r="H9" s="109"/>
      <c r="I9" s="282"/>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row>
    <row r="10" spans="1:36" s="107" customFormat="1" ht="25.5" customHeight="1" thickBot="1" x14ac:dyDescent="0.3">
      <c r="A10" s="724" t="str">
        <f>IF('SFA PROCUREMENT TABLE'!$J$125=0,"", "Section D: Contract Performance Management Process")</f>
        <v>Section D: Contract Performance Management Process</v>
      </c>
      <c r="B10" s="725"/>
      <c r="C10" s="131"/>
      <c r="D10" s="135"/>
      <c r="E10" s="122"/>
      <c r="F10" s="122"/>
      <c r="G10" s="122"/>
      <c r="H10" s="122"/>
      <c r="I10" s="122"/>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row>
    <row r="11" spans="1:36" s="107" customFormat="1" ht="67.5" customHeight="1" x14ac:dyDescent="0.25">
      <c r="A11" s="503"/>
      <c r="B11" s="492" t="str">
        <f>IF('SFA PROCUREMENT TABLE'!$J$125=0, "", "4) Is the SFA compliant with receiving the value of USDA foods as stated on the State-approved Summary End Product Data Schedule (SEPDS)?  (NOTE:  No is a finding.  NOTE:  "&amp;"The SEPDS value is also known as the contract value. It is the USDA established value for each raw material.  Pass through of ‘full entitlement’ may not occur.  Rather, SFAs may receive a larger/smaller "&amp;"discount/credit from processors paid by USDA from entitlement funds.) [7 CFR 250.30(c)(5)(viii)(A)]")</f>
        <v>4) Is the SFA compliant with receiving the value of USDA foods as stated on the State-approved Summary End Product Data Schedule (SEPDS)?  (NOTE:  No is a finding.  NOTE:  The SEPDS value is also known as the contract value. It is the USDA established value for each raw material.  Pass through of ‘full entitlement’ may not occur.  Rather, SFAs may receive a larger/smaller discount/credit from processors paid by USDA from entitlement funds.) [7 CFR 250.30(c)(5)(viii)(A)]</v>
      </c>
      <c r="C11" s="369"/>
      <c r="D11" s="109"/>
      <c r="E11" s="109"/>
      <c r="F11" s="109"/>
      <c r="G11" s="109"/>
      <c r="H11" s="109"/>
      <c r="I11" s="282"/>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row>
    <row r="12" spans="1:36" s="107" customFormat="1" ht="31.5" x14ac:dyDescent="0.25">
      <c r="A12" s="467"/>
      <c r="B12" s="190" t="str">
        <f>IF('SFA PROCUREMENT TABLE'!$J$125=0, "", "5) If the SFA received less than the full value of its USDA Foods from the processor, is the SFA compliant with pursuing the difference with the processor and coming to a reasonable "&amp;"conclusion or working with the State Distributing Agency to reconcile the difference?  (NOTE:  NO is a finding)")</f>
        <v>5) If the SFA received less than the full value of its USDA Foods from the processor, is the SFA compliant with pursuing the difference with the processor and coming to a reasonable conclusion or working with the State Distributing Agency to reconcile the difference?  (NOTE:  NO is a finding)</v>
      </c>
      <c r="C12" s="369"/>
      <c r="D12" s="109"/>
      <c r="E12" s="109"/>
      <c r="F12" s="109"/>
      <c r="G12" s="109"/>
      <c r="H12" s="109"/>
      <c r="I12" s="282"/>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row>
    <row r="13" spans="1:36" s="107" customFormat="1" ht="31.5" x14ac:dyDescent="0.25">
      <c r="A13" s="467"/>
      <c r="B13" s="190" t="str">
        <f>IF('SFA PROCUREMENT TABLE'!$J$125=0, "", "6) Is the SFA compliant with monitoring contractor performance (contract terms/conditions/specifications as required quarterly, semi-annual, annual reports - programmatic, financial, or both)?   (NOTE:  NO is a finding.) [2 CFR 200.318(b)]")</f>
        <v>6) Is the SFA compliant with monitoring contractor performance (contract terms/conditions/specifications as required quarterly, semi-annual, annual reports - programmatic, financial, or both)?   (NOTE:  NO is a finding.) [2 CFR 200.318(b)]</v>
      </c>
      <c r="C13" s="369"/>
      <c r="D13" s="109"/>
      <c r="E13" s="109"/>
      <c r="F13" s="109"/>
      <c r="G13" s="109"/>
      <c r="H13" s="109"/>
      <c r="I13" s="128" t="str">
        <f>IF(B13 = "NON-COMPLIANT", "COMMENT REQUIRED", "")</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row>
    <row r="14" spans="1:36" s="107" customFormat="1" x14ac:dyDescent="0.25">
      <c r="A14" s="468" t="s">
        <v>480</v>
      </c>
      <c r="B14" s="312" t="str">
        <f>IF('SFA PROCUREMENT TABLE'!$J$125=0, "", " 7) Is the SFA compliant with having food recall procedures?")</f>
        <v xml:space="preserve"> 7) Is the SFA compliant with having food recall procedures?</v>
      </c>
      <c r="C14" s="369"/>
      <c r="D14" s="109"/>
      <c r="E14" s="109"/>
      <c r="F14" s="109"/>
      <c r="G14" s="109"/>
      <c r="H14" s="109"/>
      <c r="I14" s="282"/>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row>
    <row r="15" spans="1:36" s="107" customFormat="1" ht="126.75" thickBot="1" x14ac:dyDescent="0.3">
      <c r="A15" s="468" t="s">
        <v>480</v>
      </c>
      <c r="B15" s="502" t="str">
        <f>IF('SFA PROCUREMENT TABLE'!$J$125=0, "", " 8) If yes, are the food recall procedures in compliance with 7 CFR 250?  (NOTE:  SFA responsibilities include: Implementing the recall procedures upon notification of a recall of USDA Foods; "&amp;"Assigning a food safety coordinator and alternate, and provide the names, titles, email addresses, and telephone and fax numbers of the coordinator and alternate "&amp;"to the SDA; Maintaining a contact list for RA serving sites, distributors, and other recipients. This list should have two recall contacts per site and be "&amp;"verified annually; Notifying all sites re: recall immediately – 24 hours or less, and ensure that the affected products are isolated and labeled “Do Not Use” to "&amp;"avoid accidental use; Identifying the locations of the affected products, and verify that the products have the correct product"&amp;" identification codes; Contacting further processors to track redirected food affected by the recall; Conducting an inventory assessment – 48 hours or less, of affected product: Served; Remaining "&amp;"in-stock at schools, warehouses, and distributors; Further distributed to program participants; Redirected for further processing; Submit the "&amp;"inventory assessment information to the SDA; and Follow applicable destruction/disposal instructions provided by the SDA.")</f>
        <v xml:space="preserve"> 8) If yes, are the food recall procedures in compliance with 7 CFR 250?  (NOTE:  SFA responsibilities include: Implementing the recall procedures upon notification of a recall of USDA Foods; Assigning a food safety coordinator and alternate, and provide the names, titles, email addresses, and telephone and fax numbers of the coordinator and alternate to the SDA; Maintaining a contact list for RA serving sites, distributors, and other recipients. This list should have two recall contacts per site and be verified annually; Notifying all sites re: recall immediately – 24 hours or less, and ensure that the affected products are isolated and labeled “Do Not Use” to avoid accidental use; Identifying the locations of the affected products, and verify that the products have the correct product identification codes; Contacting further processors to track redirected food affected by the recall; Conducting an inventory assessment – 48 hours or less, of affected product: Served; Remaining in-stock at schools, warehouses, and distributors; Further distributed to program participants; Redirected for further processing; Submit the inventory assessment information to the SDA; and Follow applicable destruction/disposal instructions provided by the SDA.</v>
      </c>
      <c r="C15" s="369"/>
      <c r="D15" s="109"/>
      <c r="E15" s="109"/>
      <c r="F15" s="109"/>
      <c r="G15" s="109"/>
      <c r="H15" s="109"/>
      <c r="I15" s="128" t="str">
        <f>IF(B15 = "NON-COMPLIANT", "COMMENT REQUIRED", "")</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row>
    <row r="16" spans="1:36" s="107" customFormat="1" ht="41.25" customHeight="1" thickBot="1" x14ac:dyDescent="0.3">
      <c r="A16" s="746" t="s">
        <v>485</v>
      </c>
      <c r="B16" s="747"/>
      <c r="C16" s="337"/>
      <c r="D16" s="154"/>
      <c r="E16" s="110"/>
      <c r="F16" s="110"/>
      <c r="G16" s="110"/>
      <c r="H16" s="110"/>
      <c r="I16" s="110"/>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row>
    <row r="17" spans="1:36" s="107" customFormat="1" ht="34.5" customHeight="1" thickBot="1" x14ac:dyDescent="0.3">
      <c r="A17" s="730" t="s">
        <v>338</v>
      </c>
      <c r="B17" s="731"/>
      <c r="C17" s="133"/>
      <c r="D17" s="134"/>
      <c r="E17" s="109"/>
      <c r="F17" s="109"/>
      <c r="G17" s="109"/>
      <c r="H17" s="109"/>
      <c r="I17" s="109"/>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row>
    <row r="18" spans="1:36" x14ac:dyDescent="0.25">
      <c r="B18" s="47"/>
      <c r="C18" s="47"/>
      <c r="D18" s="138"/>
      <c r="E18" s="138"/>
      <c r="F18" s="138"/>
      <c r="G18" s="138"/>
      <c r="H18" s="138"/>
      <c r="I18" s="138"/>
    </row>
    <row r="19" spans="1:36" x14ac:dyDescent="0.25">
      <c r="B19" s="41"/>
      <c r="C19" s="41"/>
      <c r="D19" s="139"/>
      <c r="E19" s="139"/>
      <c r="F19" s="139"/>
      <c r="G19" s="139"/>
      <c r="H19" s="139"/>
      <c r="I19" s="139"/>
    </row>
    <row r="20" spans="1:36" x14ac:dyDescent="0.25">
      <c r="B20" s="41"/>
      <c r="C20" s="41"/>
      <c r="D20" s="139"/>
      <c r="E20" s="139"/>
      <c r="F20" s="139"/>
      <c r="G20" s="139"/>
      <c r="H20" s="139"/>
      <c r="I20" s="139"/>
    </row>
    <row r="21" spans="1:36" x14ac:dyDescent="0.25">
      <c r="B21" s="41"/>
      <c r="C21" s="41"/>
      <c r="D21" s="139"/>
      <c r="E21" s="139"/>
      <c r="F21" s="139"/>
      <c r="G21" s="139"/>
      <c r="H21" s="139"/>
      <c r="I21" s="139"/>
    </row>
    <row r="22" spans="1:36" x14ac:dyDescent="0.25">
      <c r="B22" s="41"/>
      <c r="C22" s="41"/>
      <c r="D22" s="139"/>
      <c r="E22" s="139"/>
      <c r="F22" s="139"/>
      <c r="G22" s="139"/>
      <c r="H22" s="139"/>
      <c r="I22" s="139"/>
    </row>
    <row r="23" spans="1:36" x14ac:dyDescent="0.25">
      <c r="B23" s="41"/>
      <c r="C23" s="41"/>
      <c r="D23" s="139"/>
      <c r="E23" s="139"/>
      <c r="F23" s="139"/>
      <c r="G23" s="139"/>
      <c r="H23" s="139"/>
      <c r="I23" s="139"/>
    </row>
    <row r="24" spans="1:36" x14ac:dyDescent="0.25">
      <c r="B24" s="41"/>
      <c r="C24" s="41"/>
      <c r="D24" s="139"/>
      <c r="E24" s="139"/>
      <c r="F24" s="139"/>
      <c r="G24" s="139"/>
      <c r="H24" s="139"/>
      <c r="I24" s="139"/>
    </row>
    <row r="25" spans="1:36" x14ac:dyDescent="0.25">
      <c r="B25" s="42"/>
      <c r="C25" s="42"/>
      <c r="D25" s="140"/>
      <c r="E25" s="140"/>
      <c r="F25" s="140"/>
      <c r="G25" s="140"/>
      <c r="H25" s="140"/>
      <c r="I25" s="140"/>
    </row>
    <row r="26" spans="1:36" x14ac:dyDescent="0.25">
      <c r="B26" s="41"/>
      <c r="C26" s="41"/>
      <c r="D26" s="139"/>
      <c r="E26" s="139"/>
      <c r="F26" s="139"/>
      <c r="G26" s="139"/>
      <c r="H26" s="139"/>
      <c r="I26" s="139"/>
    </row>
    <row r="27" spans="1:36" x14ac:dyDescent="0.25">
      <c r="B27" s="53"/>
      <c r="C27" s="53"/>
      <c r="D27" s="141"/>
      <c r="E27" s="141"/>
      <c r="F27" s="141"/>
      <c r="G27" s="141"/>
      <c r="H27" s="141"/>
      <c r="I27" s="141"/>
    </row>
    <row r="28" spans="1:36" x14ac:dyDescent="0.25">
      <c r="B28" s="54"/>
      <c r="C28" s="54"/>
      <c r="D28" s="142"/>
      <c r="E28" s="142"/>
      <c r="F28" s="142"/>
      <c r="G28" s="142"/>
      <c r="H28" s="142"/>
      <c r="I28" s="142"/>
    </row>
  </sheetData>
  <mergeCells count="16">
    <mergeCell ref="A16:B16"/>
    <mergeCell ref="A17:B17"/>
    <mergeCell ref="A9:B9"/>
    <mergeCell ref="A1:B1"/>
    <mergeCell ref="A2:B2"/>
    <mergeCell ref="A3:B3"/>
    <mergeCell ref="A5:B5"/>
    <mergeCell ref="A10:B10"/>
    <mergeCell ref="A7:B7"/>
    <mergeCell ref="I1:I3"/>
    <mergeCell ref="C1:C3"/>
    <mergeCell ref="D1:D3"/>
    <mergeCell ref="E1:E3"/>
    <mergeCell ref="F1:F3"/>
    <mergeCell ref="G1:G3"/>
    <mergeCell ref="H1:H3"/>
  </mergeCells>
  <dataValidations count="1">
    <dataValidation type="list" allowBlank="1" showInputMessage="1" showErrorMessage="1" sqref="B4" xr:uid="{00000000-0002-0000-0D00-000000000000}">
      <formula1>three</formula1>
    </dataValidation>
  </dataValidations>
  <pageMargins left="0.7" right="0.7" top="0.75" bottom="0.75" header="0.3" footer="0.3"/>
  <pageSetup scale="6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1000000}">
          <x14:formula1>
            <xm:f>Selection!$E$2:$E$8</xm:f>
          </x14:formula1>
          <xm:sqref>I4 D16:I16</xm:sqref>
        </x14:dataValidation>
        <x14:dataValidation type="list" allowBlank="1" showInputMessage="1" showErrorMessage="1" xr:uid="{00000000-0002-0000-0D00-000002000000}">
          <x14:formula1>
            <xm:f>'Data sets '!$A$220:$A$222</xm:f>
          </x14:formula1>
          <xm:sqref>C4 C6 C8 C11:C15</xm:sqref>
        </x14:dataValidation>
        <x14:dataValidation type="list" allowBlank="1" showInputMessage="1" showErrorMessage="1" xr:uid="{00000000-0002-0000-0D00-000003000000}">
          <x14:formula1>
            <xm:f>Selection!$I$2:$I$8</xm:f>
          </x14:formula1>
          <xm:sqref>D4:H4 D6:H6 D8:H9 D11:H15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K76"/>
  <sheetViews>
    <sheetView topLeftCell="A46" zoomScaleNormal="100" workbookViewId="0">
      <selection activeCell="A45" sqref="A45"/>
    </sheetView>
  </sheetViews>
  <sheetFormatPr defaultColWidth="9.140625" defaultRowHeight="52.5" customHeight="1" x14ac:dyDescent="0.25"/>
  <cols>
    <col min="1" max="1" width="11.7109375" style="33" customWidth="1"/>
    <col min="2" max="2" width="99.85546875" style="193" customWidth="1"/>
    <col min="3" max="9" width="34.5703125" style="193" customWidth="1"/>
    <col min="10" max="16384" width="9.140625" style="193"/>
  </cols>
  <sheetData>
    <row r="1" spans="1:37" ht="21.75" customHeight="1" x14ac:dyDescent="0.25">
      <c r="B1" s="756" t="s">
        <v>429</v>
      </c>
      <c r="C1" s="757"/>
      <c r="D1" s="288"/>
      <c r="E1" s="288"/>
      <c r="F1" s="288"/>
      <c r="G1" s="288"/>
      <c r="H1" s="191"/>
      <c r="I1" s="191"/>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row>
    <row r="2" spans="1:37" ht="46.5" customHeight="1" x14ac:dyDescent="0.25">
      <c r="B2" s="760" t="s">
        <v>410</v>
      </c>
      <c r="C2" s="761"/>
      <c r="D2" s="762"/>
      <c r="E2" s="763"/>
      <c r="F2" s="763"/>
      <c r="G2" s="763"/>
      <c r="H2" s="191"/>
      <c r="I2" s="191"/>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row>
    <row r="3" spans="1:37" ht="81.75" customHeight="1" x14ac:dyDescent="0.25">
      <c r="B3" s="758" t="s">
        <v>409</v>
      </c>
      <c r="C3" s="759"/>
      <c r="D3" s="289"/>
      <c r="E3" s="289"/>
      <c r="F3" s="289"/>
      <c r="G3" s="289"/>
      <c r="H3" s="194"/>
      <c r="I3" s="194"/>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row>
    <row r="4" spans="1:37" ht="37.5" customHeight="1" x14ac:dyDescent="0.25">
      <c r="B4" s="195" t="s">
        <v>296</v>
      </c>
      <c r="C4" s="290" t="s">
        <v>414</v>
      </c>
      <c r="D4" s="290" t="s">
        <v>413</v>
      </c>
      <c r="E4" s="290" t="s">
        <v>413</v>
      </c>
      <c r="F4" s="290" t="s">
        <v>413</v>
      </c>
      <c r="G4" s="290" t="s">
        <v>413</v>
      </c>
      <c r="H4" s="290" t="s">
        <v>413</v>
      </c>
      <c r="I4" s="196" t="s">
        <v>84</v>
      </c>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row>
    <row r="5" spans="1:37" s="123" customFormat="1" ht="38.25" customHeight="1" x14ac:dyDescent="0.25">
      <c r="A5" s="436"/>
      <c r="B5" s="197" t="s">
        <v>411</v>
      </c>
      <c r="C5" s="122"/>
      <c r="D5" s="122"/>
      <c r="E5" s="122"/>
      <c r="F5" s="122"/>
      <c r="G5" s="122"/>
      <c r="H5" s="122"/>
      <c r="I5" s="122"/>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row>
    <row r="6" spans="1:37" s="123" customFormat="1" ht="48.75" customHeight="1" x14ac:dyDescent="0.25">
      <c r="A6" s="436"/>
      <c r="B6" s="124" t="str">
        <f>IF('SFA PROCUREMENT TABLE'!$L$101= 0, "","  a)  Initial contract duration limited to 1 year?  [7 CFR 210.16(d)]")</f>
        <v xml:space="preserve">  a)  Initial contract duration limited to 1 year?  [7 CFR 210.16(d)]</v>
      </c>
      <c r="C6" s="369"/>
      <c r="D6" s="369" t="s">
        <v>531</v>
      </c>
      <c r="E6" s="369" t="s">
        <v>531</v>
      </c>
      <c r="F6" s="369"/>
      <c r="G6" s="369"/>
      <c r="H6" s="369"/>
      <c r="I6" s="369"/>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row>
    <row r="7" spans="1:37" s="123" customFormat="1" ht="36" customHeight="1" x14ac:dyDescent="0.25">
      <c r="A7" s="436"/>
      <c r="B7" s="124" t="str">
        <f>IF('SFA PROCUREMENT TABLE'!$L$101= 0, ""," b)  Contract renewal options do not exceed 4-1 year optional renewals? [7 CFR 210.16(d)]")</f>
        <v xml:space="preserve"> b)  Contract renewal options do not exceed 4-1 year optional renewals? [7 CFR 210.16(d)]</v>
      </c>
      <c r="C7" s="369"/>
      <c r="D7" s="369"/>
      <c r="E7" s="369"/>
      <c r="F7" s="369"/>
      <c r="G7" s="369"/>
      <c r="H7" s="369"/>
      <c r="I7" s="369"/>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row>
    <row r="8" spans="1:37" s="123" customFormat="1" ht="34.5" customHeight="1" x14ac:dyDescent="0.25">
      <c r="A8" s="437" t="s">
        <v>480</v>
      </c>
      <c r="B8" s="407" t="str">
        <f>IF('SFA PROCUREMENT TABLE'!$L$101= 0, ""," 2) Is the SFA solicitation/contract compliant by identifing that the SFA would:  [7 CFR Part 210.16(a)]")</f>
        <v xml:space="preserve"> 2) Is the SFA solicitation/contract compliant by identifing that the SFA would:  [7 CFR Part 210.16(a)]</v>
      </c>
      <c r="C8" s="110"/>
      <c r="D8" s="110"/>
      <c r="E8" s="110"/>
      <c r="F8" s="110"/>
      <c r="G8" s="110"/>
      <c r="H8" s="110"/>
      <c r="I8" s="11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row>
    <row r="9" spans="1:37" s="123" customFormat="1" ht="52.5" customHeight="1" x14ac:dyDescent="0.25">
      <c r="A9" s="437" t="s">
        <v>480</v>
      </c>
      <c r="B9" s="124" t="str">
        <f>IF('SFA PROCUREMENT TABLE'!$L$101= 0, "","   a) Ensure that the food service operation was in conformance with the SFA-State agency agreement under the Program?  [7 CFR 210.16(a)(2)]")</f>
        <v xml:space="preserve">   a) Ensure that the food service operation was in conformance with the SFA-State agency agreement under the Program?  [7 CFR 210.16(a)(2)]</v>
      </c>
      <c r="C9" s="369"/>
      <c r="D9" s="369" t="s">
        <v>531</v>
      </c>
      <c r="E9" s="369" t="s">
        <v>531</v>
      </c>
      <c r="F9" s="369"/>
      <c r="G9" s="369"/>
      <c r="H9" s="369"/>
      <c r="I9" s="369"/>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row>
    <row r="10" spans="1:37" s="123" customFormat="1" ht="30" customHeight="1" x14ac:dyDescent="0.25">
      <c r="A10" s="437" t="s">
        <v>480</v>
      </c>
      <c r="B10" s="124" t="str">
        <f>IF('SFA PROCUREMENT TABLE'!$L$101= 0, "","   b) Monitor the food service operation through periodic on-site visits?  [7 CFR 210.16(a)(3)]")</f>
        <v xml:space="preserve">   b) Monitor the food service operation through periodic on-site visits?  [7 CFR 210.16(a)(3)]</v>
      </c>
      <c r="C10" s="369"/>
      <c r="D10" s="369" t="s">
        <v>531</v>
      </c>
      <c r="E10" s="369" t="s">
        <v>531</v>
      </c>
      <c r="F10" s="369"/>
      <c r="G10" s="369"/>
      <c r="H10" s="369"/>
      <c r="I10" s="369"/>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row>
    <row r="11" spans="1:37" s="123" customFormat="1" ht="52.5" customHeight="1" x14ac:dyDescent="0.25">
      <c r="A11" s="437" t="s">
        <v>480</v>
      </c>
      <c r="B11" s="124" t="str">
        <f>IF('SFA PROCUREMENT TABLE'!$L$101= 0, "","   c) Retain control of the quality, extent, and general nature of its food service, and the prices to be charged the children for meals?  [7 CFR 210.16(a)(4)]")</f>
        <v xml:space="preserve">   c) Retain control of the quality, extent, and general nature of its food service, and the prices to be charged the children for meals?  [7 CFR 210.16(a)(4)]</v>
      </c>
      <c r="C11" s="369"/>
      <c r="D11" s="369"/>
      <c r="E11" s="369"/>
      <c r="F11" s="369"/>
      <c r="G11" s="369"/>
      <c r="H11" s="369"/>
      <c r="I11" s="369"/>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row>
    <row r="12" spans="1:37" s="123" customFormat="1" ht="52.5" customHeight="1" x14ac:dyDescent="0.25">
      <c r="A12" s="437" t="s">
        <v>480</v>
      </c>
      <c r="B12" s="124" t="str">
        <f>IF('SFA PROCUREMENT TABLE'!$L$101= 0, "","   d) Retain signature authority on the State agency-SFA agreement, free and reduced price policy statement and claims?  [7 CFR 210.16(a)(5)]")</f>
        <v xml:space="preserve">   d) Retain signature authority on the State agency-SFA agreement, free and reduced price policy statement and claims?  [7 CFR 210.16(a)(5)]</v>
      </c>
      <c r="C12" s="369"/>
      <c r="D12" s="369"/>
      <c r="E12" s="369"/>
      <c r="F12" s="369"/>
      <c r="G12" s="369"/>
      <c r="H12" s="369"/>
      <c r="I12" s="369"/>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row>
    <row r="13" spans="1:37" s="123" customFormat="1" ht="69.599999999999994" customHeight="1" x14ac:dyDescent="0.25">
      <c r="A13" s="437" t="s">
        <v>480</v>
      </c>
      <c r="B13" s="124" t="str">
        <f>IF('SFA PROCUREMENT TABLE'!$L$101= 0, "","   e) Ensure that all federally donated foods received by the school food authority and made available to the FSMC accrue only to the benefit of the school food authority's"&amp;" nonprofit school food service and will be fully utilized therein?  [7 CFR 210.16(a)(6)]")</f>
        <v xml:space="preserve">   e) Ensure that all federally donated foods received by the school food authority and made available to the FSMC accrue only to the benefit of the school food authority's nonprofit school food service and will be fully utilized therein?  [7 CFR 210.16(a)(6)]</v>
      </c>
      <c r="C13" s="369"/>
      <c r="D13" s="369"/>
      <c r="E13" s="369"/>
      <c r="F13" s="369"/>
      <c r="G13" s="369"/>
      <c r="H13" s="369"/>
      <c r="I13" s="369"/>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row>
    <row r="14" spans="1:37" s="123" customFormat="1" ht="61.35" customHeight="1" x14ac:dyDescent="0.25">
      <c r="A14" s="437" t="s">
        <v>480</v>
      </c>
      <c r="B14" s="124" t="str">
        <f>IF('SFA PROCUREMENT TABLE'!$L$101= 0, "","   f) Maintain applicable health certification and assure that all State and local regulations are being met by a FSMC preparing or serving meals at a school food authority facility?  [7 CFR 210.16(a)(7)]")</f>
        <v xml:space="preserve">   f) Maintain applicable health certification and assure that all State and local regulations are being met by a FSMC preparing or serving meals at a school food authority facility?  [7 CFR 210.16(a)(7)]</v>
      </c>
      <c r="C14" s="369"/>
      <c r="D14" s="369"/>
      <c r="E14" s="369"/>
      <c r="F14" s="369"/>
      <c r="G14" s="369"/>
      <c r="H14" s="369"/>
      <c r="I14" s="369"/>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row>
    <row r="15" spans="1:37" s="123" customFormat="1" ht="52.5" customHeight="1" x14ac:dyDescent="0.25">
      <c r="A15" s="437" t="s">
        <v>480</v>
      </c>
      <c r="B15" s="124" t="str">
        <f>IF('SFA PROCUREMENT TABLE'!$L$101= 0, "","   g) Establish an advisory board composed of parents, teachers, and students to assist in menu planning?  [7 CFR 210.16(a)(8)]")</f>
        <v xml:space="preserve">   g) Establish an advisory board composed of parents, teachers, and students to assist in menu planning?  [7 CFR 210.16(a)(8)]</v>
      </c>
      <c r="C15" s="369"/>
      <c r="D15" s="369"/>
      <c r="E15" s="369"/>
      <c r="F15" s="369"/>
      <c r="G15" s="369"/>
      <c r="H15" s="369"/>
      <c r="I15" s="369"/>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row>
    <row r="16" spans="1:37" s="123" customFormat="1" ht="79.900000000000006" customHeight="1" x14ac:dyDescent="0.25">
      <c r="A16" s="436"/>
      <c r="B16" s="124" t="str">
        <f>IF('SFA PROCUREMENT TABLE'!$L$101= 0, "","3) Is the SFA solicitation/contract compliant by including a 21-day cycle menu developed in accordance with the provisions of 7 CFR 210.10, to be used as a standard for the "&amp;"purpose of basing bids or estimating average costs per meal? (Please note that the SA may approve a provision in the solicitation requiring the FSMC to provide a 21-day"&amp;" cycle menu for SFA's with no capability to prepare one) [7 CFR 210.16 (b)(1)]")</f>
        <v>3) Is the SFA solicitation/contract compliant by including a 21-day cycle menu developed in accordance with the provisions of 7 CFR 210.10, to be used as a standard for the purpose of basing bids or estimating average costs per meal? (Please note that the SA may approve a provision in the solicitation requiring the FSMC to provide a 21-day cycle menu for SFA's with no capability to prepare one) [7 CFR 210.16 (b)(1)]</v>
      </c>
      <c r="C16" s="369"/>
      <c r="D16" s="369"/>
      <c r="E16" s="369"/>
      <c r="F16" s="369"/>
      <c r="G16" s="369"/>
      <c r="H16" s="369"/>
      <c r="I16" s="369"/>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row>
    <row r="17" spans="1:37" s="123" customFormat="1" ht="39" customHeight="1" x14ac:dyDescent="0.25">
      <c r="A17" s="436"/>
      <c r="B17" s="124" t="str">
        <f>IF('SFA PROCUREMENT TABLE'!$L$101= 0, "","4) Is the SFA solicitation/contract compliant by stating that nonperformance would result in sanctions and were the sanctions listed?   [7 CFR Part 210.16(b)(1)]")</f>
        <v>4) Is the SFA solicitation/contract compliant by stating that nonperformance would result in sanctions and were the sanctions listed?   [7 CFR Part 210.16(b)(1)]</v>
      </c>
      <c r="C17" s="369"/>
      <c r="D17" s="369"/>
      <c r="E17" s="369"/>
      <c r="F17" s="369"/>
      <c r="G17" s="369"/>
      <c r="H17" s="369"/>
      <c r="I17" s="369"/>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row>
    <row r="18" spans="1:37" s="123" customFormat="1" ht="39" customHeight="1" x14ac:dyDescent="0.25">
      <c r="A18" s="436"/>
      <c r="B18" s="124" t="str">
        <f>IF('SFA PROCUREMENT TABLE'!$L$101= 0, "","5)Is the SFA solicitation/contract compliant by requiring all income and expenses to accrue to the SFA nonprofit food service account? [7 CFR 210.16(c)]")</f>
        <v>5)Is the SFA solicitation/contract compliant by requiring all income and expenses to accrue to the SFA nonprofit food service account? [7 CFR 210.16(c)]</v>
      </c>
      <c r="C18" s="369"/>
      <c r="D18" s="369"/>
      <c r="E18" s="369"/>
      <c r="F18" s="369"/>
      <c r="G18" s="369"/>
      <c r="H18" s="369"/>
      <c r="I18" s="369"/>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row>
    <row r="19" spans="1:37" s="123" customFormat="1" ht="57.75" customHeight="1" x14ac:dyDescent="0.25">
      <c r="A19" s="437" t="s">
        <v>483</v>
      </c>
      <c r="B19" s="124" t="str">
        <f>IF('SFA PROCUREMENT TABLE'!$L$101= 0, ""," 6) Is the SFA solicitation/contract compliant by awarding only a fixed-price or cost-reimbursable type contract?  (NOTE:  A “cost-plus-a-percentage-of-cost” an"&amp;"d/or “cost-plus-a-percentage-of-income” contract type is prohibited?  [7 CFR 210.16(c)]")</f>
        <v xml:space="preserve"> 6) Is the SFA solicitation/contract compliant by awarding only a fixed-price or cost-reimbursable type contract?  (NOTE:  A “cost-plus-a-percentage-of-cost” and/or “cost-plus-a-percentage-of-income” contract type is prohibited?  [7 CFR 210.16(c)]</v>
      </c>
      <c r="C19" s="369"/>
      <c r="D19" s="369"/>
      <c r="E19" s="369"/>
      <c r="F19" s="369"/>
      <c r="G19" s="369"/>
      <c r="H19" s="369"/>
      <c r="I19" s="369"/>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row>
    <row r="20" spans="1:37" s="123" customFormat="1" ht="67.5" customHeight="1" x14ac:dyDescent="0.25">
      <c r="A20" s="437" t="s">
        <v>483</v>
      </c>
      <c r="B20" s="124" t="str">
        <f>IF('SFA PROCUREMENT TABLE'!$L$101= 0, "","  7) Is the solicitation/contract compliant by prohibiting unallowable cost items such as scholarships, gifts/gift cards, event tickets, grants, catering accounts, etc.? "&amp;"[7 CFR 210.14(a)] (NOTE:  Even when the SFA includes 'value-added' language,  value-added items not necessary for the operation and improvement of the food service cannot be included in contract award. )")</f>
        <v xml:space="preserve">  7) Is the solicitation/contract compliant by prohibiting unallowable cost items such as scholarships, gifts/gift cards, event tickets, grants, catering accounts, etc.? [7 CFR 210.14(a)] (NOTE:  Even when the SFA includes 'value-added' language,  value-added items not necessary for the operation and improvement of the food service cannot be included in contract award. )</v>
      </c>
      <c r="C20" s="369"/>
      <c r="D20" s="369"/>
      <c r="E20" s="369"/>
      <c r="F20" s="369"/>
      <c r="G20" s="369"/>
      <c r="H20" s="369"/>
      <c r="I20" s="369"/>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row>
    <row r="21" spans="1:37" s="123" customFormat="1" ht="96.75" customHeight="1" x14ac:dyDescent="0.25">
      <c r="A21" s="437" t="s">
        <v>483</v>
      </c>
      <c r="B21" s="330" t="str">
        <f>IF('SFA PROCUREMENT TABLE'!$L$101= 0, ""," 8) Is the SFA solicitation/contract compliant by including the FSMC responsibilities?  [7 CFR Part 210.16(c)] (These include:  maintain records supporting SFA claims "&amp;"and report such at the end of each month, and make such available upon request; secure health certifications; no payment for spoiled/unwholesome meals or noncompliance with"&amp;" meal pattern for Programs operated; no a la carte service only; assure SFA complies with Buy American and supply  documentation for exceptions)(Note:  add any missing responsibilities in comment box.)")</f>
        <v xml:space="preserve"> 8) Is the SFA solicitation/contract compliant by including the FSMC responsibilities?  [7 CFR Part 210.16(c)] (These include:  maintain records supporting SFA claims and report such at the end of each month, and make such available upon request; secure health certifications; no payment for spoiled/unwholesome meals or noncompliance with meal pattern for Programs operated; no a la carte service only; assure SFA complies with Buy American and supply  documentation for exceptions)(Note:  add any missing responsibilities in comment box.)</v>
      </c>
      <c r="C21" s="369"/>
      <c r="D21" s="369"/>
      <c r="E21" s="369"/>
      <c r="F21" s="369"/>
      <c r="G21" s="369"/>
      <c r="H21" s="369"/>
      <c r="I21" s="369"/>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row>
    <row r="22" spans="1:37" s="123" customFormat="1" ht="51.75" customHeight="1" x14ac:dyDescent="0.25">
      <c r="A22" s="437" t="s">
        <v>483</v>
      </c>
      <c r="B22" s="124" t="str">
        <f>IF('SFA PROCUREMENT TABLE'!$L$101= 0, "","  9) Is the SFA solicitation/contract compliant by including meal pattern requirements for Programs operated (NSLP - 7 CFR 210.10; SBP - 220.8 and afterschool snack, "&amp;"and SFSP 225.16. and CACFP-226.20, as applicable? ")</f>
        <v xml:space="preserve">  9) Is the SFA solicitation/contract compliant by including meal pattern requirements for Programs operated (NSLP - 7 CFR 210.10; SBP - 220.8 and afterschool snack, and SFSP 225.16. and CACFP-226.20, as applicable? </v>
      </c>
      <c r="C22" s="369"/>
      <c r="D22" s="369"/>
      <c r="E22" s="369"/>
      <c r="F22" s="369"/>
      <c r="G22" s="369"/>
      <c r="H22" s="369"/>
      <c r="I22" s="369"/>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row>
    <row r="23" spans="1:37" s="123" customFormat="1" ht="54.75" customHeight="1" x14ac:dyDescent="0.25">
      <c r="A23" s="437" t="s">
        <v>480</v>
      </c>
      <c r="B23" s="124" t="str">
        <f>IF('SFA PROCUREMENT TABLE'!$L$101= 0, ""," 10) Is the SFA soliciation/contract compliant by contracting with a FSMC to require the FSMC to offer free, reduced price and paid reimbursable lunches to all eligible"&amp;" children when operating an a la carte food service? [7 CFR 201.16(a)]")</f>
        <v xml:space="preserve"> 10) Is the SFA soliciation/contract compliant by contracting with a FSMC to require the FSMC to offer free, reduced price and paid reimbursable lunches to all eligible children when operating an a la carte food service? [7 CFR 201.16(a)]</v>
      </c>
      <c r="C23" s="369"/>
      <c r="D23" s="369"/>
      <c r="E23" s="369"/>
      <c r="F23" s="369"/>
      <c r="G23" s="369"/>
      <c r="H23" s="369"/>
      <c r="I23" s="369"/>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row>
    <row r="24" spans="1:37" s="123" customFormat="1" ht="81" customHeight="1" x14ac:dyDescent="0.25">
      <c r="A24" s="436"/>
      <c r="B24" s="124" t="str">
        <f>IF('SFA PROCUREMENT TABLE'!$L$101= 0, "","11) Is the SFA compliant for including in their solicitation/contract language to ensure the FSMC complies with all requirements regarding 'Buy American,' including:"&amp;" [7 CFR Part 210.21(d)/SP 38-2017 Compliance with and Enforcement of the Buy American Provision] (Includes documentation for the use of a non-domestic food exception"&amp;" prior to purchasing non-domestic when competition reveals the cost of domestic prohibitively costly or not available?")</f>
        <v>11) Is the SFA compliant for including in their solicitation/contract language to ensure the FSMC complies with all requirements regarding 'Buy American,' including: [7 CFR Part 210.21(d)/SP 38-2017 Compliance with and Enforcement of the Buy American Provision] (Includes documentation for the use of a non-domestic food exception prior to purchasing non-domestic when competition reveals the cost of domestic prohibitively costly or not available?</v>
      </c>
      <c r="C24" s="369"/>
      <c r="D24" s="369"/>
      <c r="E24" s="369"/>
      <c r="F24" s="369"/>
      <c r="G24" s="369"/>
      <c r="H24" s="369"/>
      <c r="I24" s="369"/>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row>
    <row r="25" spans="1:37" s="123" customFormat="1" ht="53.25" customHeight="1" x14ac:dyDescent="0.25">
      <c r="A25" s="437" t="s">
        <v>483</v>
      </c>
      <c r="B25" s="124" t="str">
        <f>IF('SFA PROCUREMENT TABLE'!$L$101= 0, ""," 12) Is the SFA solicitation/contract compliant by directly or indirectly prohibiting the restriction of the sale or marketing of fluid milk at any time or in any "&amp;"place on school premises or at any school-sponsored event? [7 CFR 210.21(e)] ")</f>
        <v xml:space="preserve"> 12) Is the SFA solicitation/contract compliant by directly or indirectly prohibiting the restriction of the sale or marketing of fluid milk at any time or in any place on school premises or at any school-sponsored event? [7 CFR 210.21(e)] </v>
      </c>
      <c r="C25" s="369"/>
      <c r="D25" s="369"/>
      <c r="E25" s="369"/>
      <c r="F25" s="369"/>
      <c r="G25" s="369"/>
      <c r="H25" s="369"/>
      <c r="I25" s="369"/>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row>
    <row r="26" spans="1:37" s="123" customFormat="1" ht="102.75" customHeight="1" x14ac:dyDescent="0.25">
      <c r="A26" s="437" t="s">
        <v>483</v>
      </c>
      <c r="B26" s="330" t="str">
        <f>IF('SFA PROCUREMENT TABLE'!$L$101= 0, ""," 13) If a cost reimbursable contract was solicited, is the SFA compliant with including the following required contract provisions in 7 CFR 210.21(f)?: (NOTE:  Allowable costs"&amp;" paid 'net' of discounts, rebates and credits and identify these on bills/invoices submitted; separately identify allowable costs from nonallowable costs; certify only allowable"&amp;" costs are submitted; identify method of discounts,rebates, credits reported at contract conclusion; maintain documentation of costs and discounts, rebates, and credits.)  [NOTE:  identify missing provisions in comment box.]")</f>
        <v xml:space="preserve"> 13) If a cost reimbursable contract was solicited, is the SFA compliant with including the following required contract provisions in 7 CFR 210.21(f)?: (NOTE:  Allowable costs paid 'net' of discounts, rebates and credits and identify these on bills/invoices submitted; separately identify allowable costs from nonallowable costs; certify only allowable costs are submitted; identify method of discounts,rebates, credits reported at contract conclusion; maintain documentation of costs and discounts, rebates, and credits.)  [NOTE:  identify missing provisions in comment box.]</v>
      </c>
      <c r="C26" s="369"/>
      <c r="D26" s="369"/>
      <c r="E26" s="369"/>
      <c r="F26" s="369"/>
      <c r="G26" s="369"/>
      <c r="H26" s="369"/>
      <c r="I26" s="369"/>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row>
    <row r="27" spans="1:37" s="123" customFormat="1" ht="51.75" customHeight="1" x14ac:dyDescent="0.25">
      <c r="A27" s="436"/>
      <c r="B27" s="124" t="str">
        <f>IF('SFA PROCUREMENT TABLE'!$L$101= 0, "","14) If the SFA solicitation/contract included a provision for subcontracts, is the SFA compliant with requiring affirmative action steps for small and minority businesses, women’s business"&amp;" enterprises, and labor surplus area firms, when possible?  [2 CFR Part 200.321(a)(1-6)]")</f>
        <v>14) If the SFA solicitation/contract included a provision for subcontracts, is the SFA compliant with requiring affirmative action steps for small and minority businesses, women’s business enterprises, and labor surplus area firms, when possible?  [2 CFR Part 200.321(a)(1-6)]</v>
      </c>
      <c r="C27" s="369"/>
      <c r="D27" s="369"/>
      <c r="E27" s="369"/>
      <c r="F27" s="369"/>
      <c r="G27" s="369"/>
      <c r="H27" s="369"/>
      <c r="I27" s="369"/>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row>
    <row r="28" spans="1:37" s="123" customFormat="1" ht="120" customHeight="1" x14ac:dyDescent="0.25">
      <c r="A28" s="437" t="s">
        <v>483</v>
      </c>
      <c r="B28" s="190" t="str">
        <f>IF('SFA PROCUREMENT TABLE'!$L$101= 0, ""," 15)  Is the SFA soliciation/contract compliant with including the required contract provisions, as applicable? [Appendix II to 2 CFR 200/7 CFR 3019.48] (NOTE:  these include: "&amp;" administrative/contractual/legal remedies for contractors that breach/violate terms ($150,000); termination clause ($10,000); equal employment opportunity; contract"&amp;" work hours/safety standards; Davis Bacon for construction ($2,000); Rights to Invention; Clean Air ($150,000) Energy Conservation; Debarment/Suspension; Byrd Anti-Lobbying"&amp;" ($100,000))  (NOTE:   For non-compliance, identify in the comment box what provisions are missing.)")</f>
        <v xml:space="preserve"> 15)  Is the SFA soliciation/contract compliant with including the required contract provisions, as applicable? [Appendix II to 2 CFR 200/7 CFR 3019.48] (NOTE:  these include:  administrative/contractual/legal remedies for contractors that breach/violate terms ($150,000); termination clause ($10,000); equal employment opportunity; contract work hours/safety standards; Davis Bacon for construction ($2,000); Rights to Invention; Clean Air ($150,000) Energy Conservation; Debarment/Suspension; Byrd Anti-Lobbying ($100,000))  (NOTE:   For non-compliance, identify in the comment box what provisions are missing.)</v>
      </c>
      <c r="C28" s="369"/>
      <c r="D28" s="369"/>
      <c r="E28" s="369"/>
      <c r="F28" s="369"/>
      <c r="G28" s="369"/>
      <c r="H28" s="369"/>
      <c r="I28" s="369"/>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row>
    <row r="29" spans="1:37" s="123" customFormat="1" ht="63.75" customHeight="1" x14ac:dyDescent="0.25">
      <c r="A29" s="437" t="s">
        <v>483</v>
      </c>
      <c r="B29" s="124" t="str">
        <f>IF('SFA PROCUREMENT TABLE'!$L$101= 0, "","16) Is the SFA solicitation/contract compliant by NOT restricting competition? (NOTE:  Competition is restricted by placing unreasonable requirements, unnecessary experience,"&amp;" excessive bonding, non competitive award to consultant on retainer, or specifies a 'brand name' product (not allowing 'an equal' with performance/relevant requirements)? [2 CFR 200.319(a)(1-7)]   ")</f>
        <v xml:space="preserve">16) Is the SFA solicitation/contract compliant by NOT restricting competition? (NOTE:  Competition is restricted by placing unreasonable requirements, unnecessary experience, excessive bonding, non competitive award to consultant on retainer, or specifies a 'brand name' product (not allowing 'an equal' with performance/relevant requirements)? [2 CFR 200.319(a)(1-7)]   </v>
      </c>
      <c r="C29" s="369"/>
      <c r="D29" s="369"/>
      <c r="E29" s="369"/>
      <c r="F29" s="369"/>
      <c r="G29" s="369"/>
      <c r="H29" s="369"/>
      <c r="I29" s="369"/>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row>
    <row r="30" spans="1:37" s="123" customFormat="1" ht="194.25" customHeight="1" x14ac:dyDescent="0.25">
      <c r="A30" s="437" t="s">
        <v>483</v>
      </c>
      <c r="B30" s="124" t="str">
        <f>IF('SFA PROCUREMENT TABLE'!$L$101= 0, "","  17)  Is the SFA solicitation/contract compliant with including the USDA Foods required contract provisions in 7 CFR 250.53 for FSMC fixed-price and cost-reimbursable contracts?"&amp;" (These include for both fixed price and cost reimbursable contracts:  credit for the value of all USDA Foods received including processed end products in the school year received;"&amp;" use method and frequency in contract to verify values credits; use Nov. 15 value or actual donated food value; use only in meal service; use all donated ground beef and port "&amp;"products and processed end products in SFA food service; use commercial and donated foods of U.S. origin, equal or better quality than donated foods; credit value; not enter "&amp;"into a processing agreement; comply with storage and inventory requirements; allow on-site review of operation, records, and management of donated foods, extension and "&amp;"renewal is subject to fulfillment of all contract provisions - For cost-reimbursable contracts:  Above provisions PLUS:  cost shall not result in SFA bring charged for donated foods.)"&amp;"  (NOTE: For non-compliance, identify in the comment box what provisions are missing.)")</f>
        <v xml:space="preserve">  17)  Is the SFA solicitation/contract compliant with including the USDA Foods required contract provisions in 7 CFR 250.53 for FSMC fixed-price and cost-reimbursable contracts? (These include for both fixed price and cost reimbursable contracts:  credit for the value of all USDA Foods received including processed end products in the school year received; use method and frequency in contract to verify values credits; use Nov. 15 value or actual donated food value; use only in meal service; use all donated ground beef and port products and processed end products in SFA food service; use commercial and donated foods of U.S. origin, equal or better quality than donated foods; credit value; not enter into a processing agreement; comply with storage and inventory requirements; allow on-site review of operation, records, and management of donated foods, extension and renewal is subject to fulfillment of all contract provisions - For cost-reimbursable contracts:  Above provisions PLUS:  cost shall not result in SFA bring charged for donated foods.)  (NOTE: For non-compliance, identify in the comment box what provisions are missing.)</v>
      </c>
      <c r="C30" s="369"/>
      <c r="D30" s="369"/>
      <c r="E30" s="369"/>
      <c r="F30" s="369"/>
      <c r="G30" s="369"/>
      <c r="H30" s="369"/>
      <c r="I30" s="369"/>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row>
    <row r="31" spans="1:37" s="123" customFormat="1" ht="54.75" customHeight="1" x14ac:dyDescent="0.25">
      <c r="A31" s="437" t="s">
        <v>480</v>
      </c>
      <c r="B31" s="391" t="str">
        <f>IF('SFA PROCUREMENT TABLE'!$L$101= 0, "","18) Is the SFA solicitation/contract compliant by including a provision to ensure the SFA is paying 'cost' for goods and services purchased by the FSMC and billed to the NFSA?"&amp;"  (FSMC Handbook for SFAs, May 2016, pg. 37)  ")</f>
        <v xml:space="preserve">18) Is the SFA solicitation/contract compliant by including a provision to ensure the SFA is paying 'cost' for goods and services purchased by the FSMC and billed to the NFSA?  (FSMC Handbook for SFAs, May 2016, pg. 37)  </v>
      </c>
      <c r="C31" s="369"/>
      <c r="D31" s="369"/>
      <c r="E31" s="369"/>
      <c r="F31" s="369"/>
      <c r="G31" s="369"/>
      <c r="H31" s="369"/>
      <c r="I31" s="369"/>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row>
    <row r="32" spans="1:37" s="123" customFormat="1" ht="33.75" customHeight="1" x14ac:dyDescent="0.25">
      <c r="A32" s="436"/>
      <c r="B32" s="126" t="str">
        <f>IF('SFA PROCUREMENT TABLE'!$L$101= 0, "","19) For SFAs also operating SFSP and CACFP only:  Is the SFA solicitation/contract compliant by including the following requirements:  ")</f>
        <v xml:space="preserve">19) For SFAs also operating SFSP and CACFP only:  Is the SFA solicitation/contract compliant by including the following requirements:  </v>
      </c>
      <c r="C32" s="110"/>
      <c r="D32" s="110"/>
      <c r="E32" s="110"/>
      <c r="F32" s="110"/>
      <c r="G32" s="110"/>
      <c r="H32" s="110"/>
      <c r="I32" s="11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row>
    <row r="33" spans="1:37" s="123" customFormat="1" ht="36" customHeight="1" x14ac:dyDescent="0.25">
      <c r="A33" s="436"/>
      <c r="B33" s="199" t="str">
        <f>IF('SFA PROCUREMENT TABLE'!$L$101= 0, "","a) Language that prohibits subcontracting in 7 CFR 225.6(h)(2)(ii) and7 CFR 226.21(e)?")</f>
        <v>a) Language that prohibits subcontracting in 7 CFR 225.6(h)(2)(ii) and7 CFR 226.21(e)?</v>
      </c>
      <c r="C33" s="369"/>
      <c r="D33" s="369"/>
      <c r="E33" s="369"/>
      <c r="F33" s="369"/>
      <c r="G33" s="369"/>
      <c r="H33" s="369"/>
      <c r="I33" s="369"/>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row>
    <row r="34" spans="1:37" s="123" customFormat="1" ht="141" customHeight="1" x14ac:dyDescent="0.25">
      <c r="A34" s="436"/>
      <c r="B34" s="198" t="str">
        <f>IF('SFA PROCUREMENT TABLE'!$L$101= 0, "","b) Bond requirement for the SFSP for contracts over $150,000? [7 CFR Part 225.15(m)(5-7)]  (NOTE:  a bid bond must be not less than five (5) percent nor more than ten (10) percent,"&amp;" as determined by the sponsor.  A copy of the bid bond shall accompany each bid; and a performance bond in an amount not less than ten (10) percent nor more than twenty-five "&amp;"(25) percent of the value of the contract, as determined by the State agency, of the value of the contract for which the bid is made. Any food service management company which "&amp;"enters into more than one contract with any one sponsor shall obtain a performance bond covering all contracts if the aggregate amount of the contracts exceeds $100,000."&amp;" Sponsors shall require the food service management company to furnish a copy of the performance bond within ten days of the awarding of the contract.")</f>
        <v>b) Bond requirement for the SFSP for contracts over $150,000? [7 CFR Part 225.15(m)(5-7)]  (NOTE:  a bid bond must be not less than five (5) percent nor more than ten (10) percent, as determined by the sponsor.  A copy of the bid bond shall accompany each bid; and a performance bond in an amount not less than ten (10) percent nor more than twenty-five (25) percent of the value of the contract, as determined by the State agency, of the value of the contract for which the bid is made. Any food service management company which enters into more than one contract with any one sponsor shall obtain a performance bond covering all contracts if the aggregate amount of the contracts exceeds $100,000. Sponsors shall require the food service management company to furnish a copy of the performance bond within ten days of the awarding of the contract.</v>
      </c>
      <c r="C34" s="369"/>
      <c r="D34" s="369"/>
      <c r="E34" s="369"/>
      <c r="F34" s="369"/>
      <c r="G34" s="369"/>
      <c r="H34" s="369"/>
      <c r="I34" s="369"/>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row>
    <row r="35" spans="1:37" s="123" customFormat="1" ht="69" customHeight="1" thickBot="1" x14ac:dyDescent="0.3">
      <c r="A35" s="437" t="s">
        <v>480</v>
      </c>
      <c r="B35" s="336" t="str">
        <f>IF('SFA PROCUREMENT TABLE'!$L$101= 0, ""," 20) [For SFAs requiring FSMCs to purchase food on their behalf]  Is the SFA solicitation/contract compliant by including language for the FSMC to purchase domestic foods to ensure the"&amp;" SFA complies with the Buy American provision in 7 CFR 21021(d) and SP02-2017 and SP38-2017, Compliance with and Enforcement of the Buy American provision?  ")</f>
        <v xml:space="preserve"> 20) [For SFAs requiring FSMCs to purchase food on their behalf]  Is the SFA solicitation/contract compliant by including language for the FSMC to purchase domestic foods to ensure the SFA complies with the Buy American provision in 7 CFR 21021(d) and SP02-2017 and SP38-2017, Compliance with and Enforcement of the Buy American provision?  </v>
      </c>
      <c r="C35" s="369"/>
      <c r="D35" s="369"/>
      <c r="E35" s="369"/>
      <c r="F35" s="369"/>
      <c r="G35" s="369"/>
      <c r="H35" s="369"/>
      <c r="I35" s="369"/>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row>
    <row r="36" spans="1:37" s="123" customFormat="1" ht="33" customHeight="1" thickBot="1" x14ac:dyDescent="0.3">
      <c r="A36" s="436"/>
      <c r="B36" s="125" t="str">
        <f>IF('SFA PROCUREMENT TABLE'!$L$101= 0, "","Section B: SOLICITATION - NONCOMPETITIVE PROPOSALS (when only one response was received to the solicitation)")</f>
        <v>Section B: SOLICITATION - NONCOMPETITIVE PROPOSALS (when only one response was received to the solicitation)</v>
      </c>
      <c r="C36" s="110"/>
      <c r="D36" s="110"/>
      <c r="E36" s="110"/>
      <c r="F36" s="110"/>
      <c r="G36" s="110"/>
      <c r="H36" s="110"/>
      <c r="I36" s="11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row>
    <row r="37" spans="1:37" s="123" customFormat="1" ht="52.5" customHeight="1" x14ac:dyDescent="0.25">
      <c r="A37" s="437" t="s">
        <v>483</v>
      </c>
      <c r="B37" s="335" t="str">
        <f>IF('SFA PROCUREMENT TABLE'!$L$101= 0, ""," 21) Is the SFA compliant by using the noncompetitive proposal method due to public exigency/emergency, authorized by FNS or State agency; after solicitation from a"&amp;" number of sources, competition was inadequate, or item only available from a single source? [2 CFR 200.320(f)]                                                         ")</f>
        <v xml:space="preserve"> 21) Is the SFA compliant by using the noncompetitive proposal method due to public exigency/emergency, authorized by FNS or State agency; after solicitation from a number of sources, competition was inadequate, or item only available from a single source? [2 CFR 200.320(f)]                                                         </v>
      </c>
      <c r="C37" s="369"/>
      <c r="D37" s="369"/>
      <c r="E37" s="369"/>
      <c r="F37" s="369"/>
      <c r="G37" s="369"/>
      <c r="H37" s="369"/>
      <c r="I37" s="369"/>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row>
    <row r="38" spans="1:37" s="123" customFormat="1" ht="27.75" customHeight="1" x14ac:dyDescent="0.25">
      <c r="A38" s="436"/>
      <c r="B38" s="126" t="str">
        <f>IF('SFA PROCUREMENT TABLE'!$L$101= 0, "","Section C: EVALUATION AND AWARD ")</f>
        <v xml:space="preserve">Section C: EVALUATION AND AWARD </v>
      </c>
      <c r="C38" s="122"/>
      <c r="D38" s="122"/>
      <c r="E38" s="122"/>
      <c r="F38" s="122"/>
      <c r="G38" s="122"/>
      <c r="H38" s="122"/>
      <c r="I38" s="122"/>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row>
    <row r="39" spans="1:37" s="123" customFormat="1" ht="84.75" customHeight="1" x14ac:dyDescent="0.25">
      <c r="A39" s="437" t="s">
        <v>483</v>
      </c>
      <c r="B39" s="335" t="str">
        <f>IF('SFA PROCUREMENT TABLE'!$L$101= 0, ""," 22) For IFBs/RFPs: Is the SFA compliant by opening all bids at the time and place prescribed (IFB) and awarding the contract to the lowest responsive and responsible bidder/offer most"&amp;" advantageous to the Program with price as the primary factor, Buy American (food), geographic preference, if applicable, and as published in the solicitation? "&amp;"[2 CFR 200.320(c-d) and July 2005 Procurement Questions, dated July 21, 2005. ")</f>
        <v xml:space="preserve"> 22) For IFBs/RFPs: Is the SFA compliant by opening all bids at the time and place prescribed (IFB) and awarding the contract to the lowest responsive and responsible bidder/offer most advantageous to the Program with price as the primary factor, Buy American (food), geographic preference, if applicable, and as published in the solicitation? [2 CFR 200.320(c-d) and July 2005 Procurement Questions, dated July 21, 2005. </v>
      </c>
      <c r="C39" s="369"/>
      <c r="D39" s="369"/>
      <c r="E39" s="369"/>
      <c r="F39" s="369"/>
      <c r="G39" s="369"/>
      <c r="H39" s="369"/>
      <c r="I39" s="369"/>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row>
    <row r="40" spans="1:37" s="123" customFormat="1" ht="33" customHeight="1" x14ac:dyDescent="0.25">
      <c r="A40" s="436"/>
      <c r="B40" s="124" t="str">
        <f>IF('SFA PROCUREMENT TABLE'!$L$101= 0, "","23) If any bids/offers were rejected, is the SFA compliant by using a sound and documented reason? [2 CFR 200.320(c)(2)(v)]")</f>
        <v>23) If any bids/offers were rejected, is the SFA compliant by using a sound and documented reason? [2 CFR 200.320(c)(2)(v)]</v>
      </c>
      <c r="C40" s="369"/>
      <c r="D40" s="369"/>
      <c r="E40" s="369"/>
      <c r="F40" s="369"/>
      <c r="G40" s="369"/>
      <c r="H40" s="369"/>
      <c r="I40" s="369"/>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row>
    <row r="41" spans="1:37" s="123" customFormat="1" ht="49.5" customHeight="1" x14ac:dyDescent="0.25">
      <c r="A41" s="437" t="s">
        <v>483</v>
      </c>
      <c r="B41" s="190" t="str">
        <f>IF('SFA PROCUREMENT TABLE'!$L$101= 0, ""," 24) If the solicitation included value-added language, is the SFA compliant by excluding any unallowable cost items prior to contract award? [SP 12 2016] (NOTE:  Unallowable costs "&amp;"are goods/services not required for the operation and improvement of the food service.)")</f>
        <v xml:space="preserve"> 24) If the solicitation included value-added language, is the SFA compliant by excluding any unallowable cost items prior to contract award? [SP 12 2016] (NOTE:  Unallowable costs are goods/services not required for the operation and improvement of the food service.)</v>
      </c>
      <c r="C41" s="369"/>
      <c r="D41" s="369"/>
      <c r="E41" s="369"/>
      <c r="F41" s="369"/>
      <c r="G41" s="369"/>
      <c r="H41" s="369"/>
      <c r="I41" s="369"/>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row>
    <row r="42" spans="1:37" s="123" customFormat="1" ht="39.75" customHeight="1" x14ac:dyDescent="0.25">
      <c r="A42" s="436"/>
      <c r="B42" s="108" t="str">
        <f>IF('SFA PROCUREMENT TABLE'!$L$101= 0, "","25) If an overly responsive bid/offer was received, is the SFA compliant by eliminating bids/offers, or the overly responsive portion, when evaluating and awarding the contract?  (SP 12 2016)   ")</f>
        <v xml:space="preserve">25) If an overly responsive bid/offer was received, is the SFA compliant by eliminating bids/offers, or the overly responsive portion, when evaluating and awarding the contract?  (SP 12 2016)   </v>
      </c>
      <c r="C42" s="369"/>
      <c r="D42" s="369"/>
      <c r="E42" s="369"/>
      <c r="F42" s="369"/>
      <c r="G42" s="369"/>
      <c r="H42" s="369"/>
      <c r="I42" s="369"/>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row>
    <row r="43" spans="1:37" s="123" customFormat="1" ht="39" customHeight="1" x14ac:dyDescent="0.25">
      <c r="A43" s="436"/>
      <c r="B43" s="124" t="str">
        <f>IF('SFA PROCUREMENT TABLE'!$L$101= 0, "","26) Is the SFA compliant by complying with the LEA/SFA's written code of conduct and documented procurement procedures? [2 CFR Part 200.318]")</f>
        <v>26) Is the SFA compliant by complying with the LEA/SFA's written code of conduct and documented procurement procedures? [2 CFR Part 200.318]</v>
      </c>
      <c r="C43" s="369"/>
      <c r="D43" s="369"/>
      <c r="E43" s="369"/>
      <c r="F43" s="369"/>
      <c r="G43" s="369"/>
      <c r="H43" s="369"/>
      <c r="I43" s="369"/>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row>
    <row r="44" spans="1:37" s="123" customFormat="1" ht="54.75" customHeight="1" x14ac:dyDescent="0.25">
      <c r="A44" s="437" t="s">
        <v>483</v>
      </c>
      <c r="B44" s="332" t="str">
        <f>IF('SFA PROCUREMENT TABLE'!$L$101= 0, "","27)  Is the SFA solicitation/contract compliant by awarding only a fixed price or cost-reimbursable contract type?  (NOTE:  A 'cost-plus-a-percentage-of-cost'"&amp;" and/or 'cost-plus-a-percentage-of-income' contract type is prohibited?  [7 CFR 210.16(c)]  ")</f>
        <v xml:space="preserve">27)  Is the SFA solicitation/contract compliant by awarding only a fixed price or cost-reimbursable contract type?  (NOTE:  A 'cost-plus-a-percentage-of-cost' and/or 'cost-plus-a-percentage-of-income' contract type is prohibited?  [7 CFR 210.16(c)]  </v>
      </c>
      <c r="C44" s="369"/>
      <c r="D44" s="369"/>
      <c r="E44" s="369"/>
      <c r="F44" s="369"/>
      <c r="G44" s="369"/>
      <c r="H44" s="369"/>
      <c r="I44" s="369"/>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row>
    <row r="45" spans="1:37" s="123" customFormat="1" ht="61.15" customHeight="1" x14ac:dyDescent="0.25">
      <c r="A45" s="436"/>
      <c r="B45" s="124" t="str">
        <f>IF('SFA PROCUREMENT TABLE'!$L$101= 0, "","28) For cost reimbursable contracts only: Is the SFA solicitation/contract compliant by containing a statement that the FSMC will ensure its system of inventory management "&amp;"will not result in the recipient agency being charged for donated foods.")</f>
        <v>28) For cost reimbursable contracts only: Is the SFA solicitation/contract compliant by containing a statement that the FSMC will ensure its system of inventory management will not result in the recipient agency being charged for donated foods.</v>
      </c>
      <c r="C45" s="369"/>
      <c r="D45" s="369"/>
      <c r="E45" s="369"/>
      <c r="F45" s="369"/>
      <c r="G45" s="369"/>
      <c r="H45" s="369"/>
      <c r="I45" s="369"/>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row>
    <row r="46" spans="1:37" s="192" customFormat="1" ht="52.5" customHeight="1" x14ac:dyDescent="0.25">
      <c r="A46" s="438"/>
      <c r="B46" s="287" t="s">
        <v>412</v>
      </c>
      <c r="C46" s="764"/>
      <c r="D46" s="764"/>
      <c r="E46" s="764"/>
      <c r="F46" s="764"/>
      <c r="G46" s="764"/>
      <c r="H46" s="764"/>
      <c r="I46" s="764"/>
    </row>
    <row r="47" spans="1:37" s="192" customFormat="1" ht="52.5" customHeight="1" x14ac:dyDescent="0.25">
      <c r="A47" s="438"/>
    </row>
    <row r="48" spans="1:37" s="192" customFormat="1" ht="52.5" customHeight="1" x14ac:dyDescent="0.25">
      <c r="A48" s="438"/>
    </row>
    <row r="49" spans="1:1" s="192" customFormat="1" ht="52.5" customHeight="1" x14ac:dyDescent="0.25">
      <c r="A49" s="438"/>
    </row>
    <row r="50" spans="1:1" s="192" customFormat="1" ht="52.5" customHeight="1" x14ac:dyDescent="0.25">
      <c r="A50" s="438"/>
    </row>
    <row r="51" spans="1:1" s="192" customFormat="1" ht="109.9" customHeight="1" x14ac:dyDescent="0.25">
      <c r="A51" s="438"/>
    </row>
    <row r="52" spans="1:1" s="192" customFormat="1" ht="52.5" customHeight="1" x14ac:dyDescent="0.25">
      <c r="A52" s="438"/>
    </row>
    <row r="53" spans="1:1" s="192" customFormat="1" ht="52.5" customHeight="1" x14ac:dyDescent="0.25">
      <c r="A53" s="438"/>
    </row>
    <row r="54" spans="1:1" s="192" customFormat="1" ht="52.5" customHeight="1" x14ac:dyDescent="0.25">
      <c r="A54" s="438"/>
    </row>
    <row r="55" spans="1:1" s="192" customFormat="1" ht="52.5" customHeight="1" x14ac:dyDescent="0.25">
      <c r="A55" s="438"/>
    </row>
    <row r="56" spans="1:1" s="192" customFormat="1" ht="52.5" customHeight="1" x14ac:dyDescent="0.25">
      <c r="A56" s="438"/>
    </row>
    <row r="57" spans="1:1" s="192" customFormat="1" ht="52.5" customHeight="1" x14ac:dyDescent="0.25">
      <c r="A57" s="438"/>
    </row>
    <row r="58" spans="1:1" s="192" customFormat="1" ht="52.5" customHeight="1" x14ac:dyDescent="0.25">
      <c r="A58" s="438"/>
    </row>
    <row r="59" spans="1:1" s="192" customFormat="1" ht="52.5" customHeight="1" x14ac:dyDescent="0.25">
      <c r="A59" s="438"/>
    </row>
    <row r="60" spans="1:1" s="192" customFormat="1" ht="52.5" customHeight="1" x14ac:dyDescent="0.25">
      <c r="A60" s="438"/>
    </row>
    <row r="61" spans="1:1" s="192" customFormat="1" ht="52.5" customHeight="1" x14ac:dyDescent="0.25">
      <c r="A61" s="438"/>
    </row>
    <row r="62" spans="1:1" s="192" customFormat="1" ht="52.5" customHeight="1" x14ac:dyDescent="0.25">
      <c r="A62" s="438"/>
    </row>
    <row r="63" spans="1:1" s="192" customFormat="1" ht="52.5" customHeight="1" x14ac:dyDescent="0.25">
      <c r="A63" s="438"/>
    </row>
    <row r="64" spans="1:1" s="192" customFormat="1" ht="52.5" customHeight="1" x14ac:dyDescent="0.25">
      <c r="A64" s="438"/>
    </row>
    <row r="65" spans="1:9" s="192" customFormat="1" ht="52.5" customHeight="1" x14ac:dyDescent="0.25">
      <c r="A65" s="438"/>
    </row>
    <row r="66" spans="1:9" s="192" customFormat="1" ht="52.5" customHeight="1" x14ac:dyDescent="0.25">
      <c r="A66" s="438"/>
    </row>
    <row r="67" spans="1:9" s="192" customFormat="1" ht="52.5" customHeight="1" x14ac:dyDescent="0.25">
      <c r="A67" s="438"/>
      <c r="B67" s="193"/>
      <c r="C67" s="193"/>
      <c r="D67" s="193"/>
      <c r="E67" s="193"/>
      <c r="F67" s="193"/>
      <c r="G67" s="193"/>
      <c r="H67" s="193"/>
      <c r="I67" s="193"/>
    </row>
    <row r="68" spans="1:9" s="192" customFormat="1" ht="52.5" customHeight="1" x14ac:dyDescent="0.25">
      <c r="A68" s="438"/>
      <c r="B68" s="193"/>
      <c r="C68" s="193"/>
      <c r="D68" s="193"/>
      <c r="E68" s="193"/>
      <c r="F68" s="193"/>
      <c r="G68" s="193"/>
      <c r="H68" s="193"/>
      <c r="I68" s="193"/>
    </row>
    <row r="69" spans="1:9" s="192" customFormat="1" ht="52.5" customHeight="1" x14ac:dyDescent="0.25">
      <c r="A69" s="438"/>
      <c r="B69" s="193"/>
      <c r="C69" s="193"/>
      <c r="D69" s="193"/>
      <c r="E69" s="193"/>
      <c r="F69" s="193"/>
      <c r="G69" s="193"/>
      <c r="H69" s="193"/>
      <c r="I69" s="193"/>
    </row>
    <row r="70" spans="1:9" s="192" customFormat="1" ht="52.5" customHeight="1" x14ac:dyDescent="0.25">
      <c r="A70" s="438"/>
      <c r="B70" s="193"/>
      <c r="C70" s="193"/>
      <c r="D70" s="193"/>
      <c r="E70" s="193"/>
      <c r="F70" s="193"/>
      <c r="G70" s="193"/>
      <c r="H70" s="193"/>
      <c r="I70" s="193"/>
    </row>
    <row r="71" spans="1:9" s="192" customFormat="1" ht="52.5" customHeight="1" x14ac:dyDescent="0.25">
      <c r="A71" s="438"/>
      <c r="B71" s="193"/>
      <c r="C71" s="193"/>
      <c r="D71" s="193"/>
      <c r="E71" s="193"/>
      <c r="F71" s="193"/>
      <c r="G71" s="193"/>
      <c r="H71" s="193"/>
      <c r="I71" s="193"/>
    </row>
    <row r="72" spans="1:9" s="192" customFormat="1" ht="52.5" customHeight="1" x14ac:dyDescent="0.25">
      <c r="A72" s="438"/>
      <c r="B72" s="193"/>
      <c r="C72" s="193"/>
      <c r="D72" s="193"/>
      <c r="E72" s="193"/>
      <c r="F72" s="193"/>
      <c r="G72" s="193"/>
      <c r="H72" s="193"/>
      <c r="I72" s="193"/>
    </row>
    <row r="73" spans="1:9" s="192" customFormat="1" ht="52.5" customHeight="1" x14ac:dyDescent="0.25">
      <c r="A73" s="438"/>
      <c r="B73" s="193"/>
      <c r="C73" s="193"/>
      <c r="D73" s="193"/>
      <c r="E73" s="193"/>
      <c r="F73" s="193"/>
      <c r="G73" s="193"/>
      <c r="H73" s="193"/>
      <c r="I73" s="193"/>
    </row>
    <row r="74" spans="1:9" s="192" customFormat="1" ht="52.5" customHeight="1" x14ac:dyDescent="0.25">
      <c r="A74" s="438"/>
      <c r="B74" s="193"/>
      <c r="C74" s="193"/>
      <c r="D74" s="193"/>
      <c r="E74" s="193"/>
      <c r="F74" s="193"/>
      <c r="G74" s="193"/>
      <c r="H74" s="193"/>
      <c r="I74" s="193"/>
    </row>
    <row r="75" spans="1:9" s="192" customFormat="1" ht="52.5" customHeight="1" x14ac:dyDescent="0.25">
      <c r="A75" s="438"/>
      <c r="B75" s="193"/>
      <c r="C75" s="193"/>
      <c r="D75" s="193"/>
      <c r="E75" s="193"/>
      <c r="F75" s="193"/>
      <c r="G75" s="193"/>
      <c r="H75" s="193"/>
      <c r="I75" s="193"/>
    </row>
    <row r="76" spans="1:9" s="192" customFormat="1" ht="52.5" customHeight="1" x14ac:dyDescent="0.25">
      <c r="A76" s="438"/>
      <c r="B76" s="193"/>
      <c r="C76" s="193"/>
      <c r="D76" s="193"/>
      <c r="E76" s="193"/>
      <c r="F76" s="193"/>
      <c r="G76" s="193"/>
      <c r="H76" s="193"/>
      <c r="I76" s="193"/>
    </row>
  </sheetData>
  <mergeCells count="5">
    <mergeCell ref="B1:C1"/>
    <mergeCell ref="B3:C3"/>
    <mergeCell ref="B2:C2"/>
    <mergeCell ref="D2:G2"/>
    <mergeCell ref="C46:I46"/>
  </mergeCells>
  <dataValidations count="4">
    <dataValidation type="list" sqref="I16:I20 C36 C38 I24" xr:uid="{00000000-0002-0000-0E00-000000000000}">
      <formula1>three</formula1>
    </dataValidation>
    <dataValidation sqref="I15 I41 C8:I8" xr:uid="{00000000-0002-0000-0E00-000001000000}"/>
    <dataValidation type="list" sqref="I25:I31 I9:I14 I42 I6:I7 I22:I23 I44:I45" xr:uid="{00000000-0002-0000-0E00-000002000000}">
      <formula1>two</formula1>
    </dataValidation>
    <dataValidation type="list" allowBlank="1" showInputMessage="1" showErrorMessage="1" sqref="C32" xr:uid="{00000000-0002-0000-0E00-000003000000}">
      <formula1>three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4000000}">
          <x14:formula1>
            <xm:f>'Data sets '!$A$220:$A$222</xm:f>
          </x14:formula1>
          <xm:sqref>C6:C7 C9:C31 C33:C35 C37 C39:C45</xm:sqref>
        </x14:dataValidation>
        <x14:dataValidation type="list" allowBlank="1" showInputMessage="1" showErrorMessage="1" xr:uid="{00000000-0002-0000-0E00-000005000000}">
          <x14:formula1>
            <xm:f>Selection!$G$2:$G$7</xm:f>
          </x14:formula1>
          <xm:sqref>D6:H7 D9:H31 D33:H35 D37:H37 D39:H45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O76"/>
  <sheetViews>
    <sheetView topLeftCell="C1" zoomScale="55" zoomScaleNormal="55" workbookViewId="0">
      <selection activeCell="A3" sqref="A3"/>
    </sheetView>
  </sheetViews>
  <sheetFormatPr defaultColWidth="25.5703125" defaultRowHeight="15" x14ac:dyDescent="0.25"/>
  <cols>
    <col min="1" max="1" width="105.5703125" style="69" customWidth="1"/>
    <col min="2" max="2" width="24.140625" style="69" customWidth="1"/>
    <col min="3" max="3" width="35.5703125" style="69" bestFit="1" customWidth="1"/>
    <col min="4" max="16384" width="25.5703125" style="60"/>
  </cols>
  <sheetData>
    <row r="1" spans="1:15" ht="21" x14ac:dyDescent="0.25">
      <c r="A1" s="765" t="str">
        <f>'GENERAL PROCUREMENT PROCEDURES'!$C$4&amp;" - "&amp;"General Procurement Procedures Findings"</f>
        <v>Compliant/Non-Compliant - General Procurement Procedures Findings</v>
      </c>
      <c r="B1" s="765"/>
      <c r="C1" s="765"/>
      <c r="D1" s="765"/>
      <c r="E1" s="58"/>
      <c r="F1" s="58"/>
      <c r="G1" s="59"/>
      <c r="H1" s="59"/>
      <c r="I1" s="59"/>
      <c r="J1" s="59"/>
      <c r="K1" s="59"/>
      <c r="L1" s="59"/>
      <c r="M1" s="59"/>
      <c r="N1" s="59"/>
      <c r="O1" s="59"/>
    </row>
    <row r="2" spans="1:15" ht="37.5" x14ac:dyDescent="0.25">
      <c r="A2" s="61" t="s">
        <v>39</v>
      </c>
      <c r="B2" s="61" t="s">
        <v>38</v>
      </c>
      <c r="C2" s="61" t="s">
        <v>231</v>
      </c>
      <c r="D2" s="61" t="s">
        <v>232</v>
      </c>
      <c r="E2" s="58"/>
      <c r="F2" s="58"/>
      <c r="G2" s="59"/>
      <c r="H2" s="59"/>
      <c r="I2" s="59"/>
      <c r="J2" s="59"/>
      <c r="K2" s="59"/>
      <c r="L2" s="59"/>
      <c r="M2" s="59"/>
      <c r="N2" s="59"/>
      <c r="O2" s="59"/>
    </row>
    <row r="3" spans="1:15" s="66" customFormat="1" ht="50.25" customHeight="1" x14ac:dyDescent="0.25">
      <c r="A3" s="56" t="str">
        <f t="array" ref="A3">IFERROR( INDEX('GENERAL PROCUREMENT PROCEDURES'!$B$5:$B$7,  SMALL( IF( 'GENERAL PROCUREMENT PROCEDURES'!$C$5:$C$7 = "Non-Compliant", ROW('GENERAL PROCUREMENT PROCEDURES'!$B$5:$B$7)-ROW('GENERAL PROCUREMENT PROCEDURES'!$B$5)+1 ),  ROWS('GENERAL PROCUREMENT PROCEDURES'!$B$5:'GENERAL PROCUREMENT PROCEDURES'!B5)) ),"")</f>
        <v/>
      </c>
      <c r="B3" s="57" t="str">
        <f>IFERROR(VLOOKUP(A3,'GENERAL PROCUREMENT PROCEDURES'!$B:$D,3,0), "")</f>
        <v/>
      </c>
      <c r="C3" s="63"/>
      <c r="D3" s="63"/>
      <c r="E3" s="64"/>
      <c r="F3" s="64"/>
      <c r="G3" s="65"/>
      <c r="H3" s="65"/>
      <c r="I3" s="65"/>
      <c r="J3" s="65"/>
      <c r="K3" s="65"/>
      <c r="L3" s="65"/>
      <c r="M3" s="65"/>
      <c r="N3" s="65"/>
      <c r="O3" s="65"/>
    </row>
    <row r="4" spans="1:15" s="66" customFormat="1" ht="50.25" customHeight="1" x14ac:dyDescent="0.25">
      <c r="A4" s="56" t="str">
        <f t="array" ref="A4">IFERROR( INDEX('GENERAL PROCUREMENT PROCEDURES'!$B$5:$B$7,  SMALL( IF( 'GENERAL PROCUREMENT PROCEDURES'!$C$5:$C$7 = "Non-Compliant", ROW('GENERAL PROCUREMENT PROCEDURES'!$B$5:$B$7)-ROW('GENERAL PROCUREMENT PROCEDURES'!$B$5)+1 ),  ROWS('GENERAL PROCUREMENT PROCEDURES'!$B$5:'GENERAL PROCUREMENT PROCEDURES'!B6)) ),"")</f>
        <v/>
      </c>
      <c r="B4" s="57" t="str">
        <f>IFERROR(VLOOKUP(A4,'GENERAL PROCUREMENT PROCEDURES'!$B:$D,3,0), "")</f>
        <v/>
      </c>
      <c r="C4" s="63"/>
      <c r="D4" s="63"/>
      <c r="E4" s="64"/>
      <c r="F4" s="64"/>
      <c r="G4" s="65"/>
      <c r="H4" s="65"/>
      <c r="I4" s="65"/>
      <c r="J4" s="65"/>
      <c r="K4" s="65"/>
      <c r="L4" s="65"/>
      <c r="M4" s="65"/>
      <c r="N4" s="65"/>
      <c r="O4" s="65"/>
    </row>
    <row r="5" spans="1:15" s="66" customFormat="1" ht="50.25" customHeight="1" x14ac:dyDescent="0.25">
      <c r="A5" s="525" t="str">
        <f t="array" ref="A5">IFERROR( INDEX('GENERAL PROCUREMENT PROCEDURES'!$B$5:$B$7,  SMALL( IF( 'GENERAL PROCUREMENT PROCEDURES'!$C$5:$C$7 = "Non-Compliant", ROW('GENERAL PROCUREMENT PROCEDURES'!$B$5:$B$7)-ROW('GENERAL PROCUREMENT PROCEDURES'!$B$5)+1 ),  ROWS('GENERAL PROCUREMENT PROCEDURES'!$B$5:'GENERAL PROCUREMENT PROCEDURES'!B7)) ),"")</f>
        <v/>
      </c>
      <c r="B5" s="525" t="str">
        <f>IFERROR(VLOOKUP(A5,'GENERAL PROCUREMENT PROCEDURES'!$B:$D,3,0), "")</f>
        <v/>
      </c>
      <c r="C5" s="526"/>
      <c r="D5" s="526"/>
      <c r="E5" s="64"/>
      <c r="F5" s="64"/>
      <c r="G5" s="65"/>
      <c r="H5" s="65"/>
      <c r="I5" s="65"/>
      <c r="J5" s="65"/>
      <c r="K5" s="65"/>
      <c r="L5" s="65"/>
      <c r="M5" s="65"/>
      <c r="N5" s="65"/>
      <c r="O5" s="65"/>
    </row>
    <row r="6" spans="1:15" s="66" customFormat="1" ht="50.25" customHeight="1" x14ac:dyDescent="0.25">
      <c r="A6" s="525" t="str">
        <f t="array" ref="A6">IFERROR( INDEX('GENERAL PROCUREMENT PROCEDURES'!$B$5:$B$7,  SMALL( IF( 'GENERAL PROCUREMENT PROCEDURES'!$C$5:$C$7 = "Non-Compliant", ROW('GENERAL PROCUREMENT PROCEDURES'!$B$5:$B$7)-ROW('GENERAL PROCUREMENT PROCEDURES'!$B$5)+1 ),  ROWS('GENERAL PROCUREMENT PROCEDURES'!$B$5:'GENERAL PROCUREMENT PROCEDURES'!B8)) ),"")</f>
        <v/>
      </c>
      <c r="B6" s="525" t="str">
        <f>IFERROR(VLOOKUP(A6,'GENERAL PROCUREMENT PROCEDURES'!$B:$D,3,0), "")</f>
        <v/>
      </c>
      <c r="C6" s="526"/>
      <c r="D6" s="526"/>
      <c r="E6" s="64"/>
      <c r="F6" s="64"/>
      <c r="G6" s="65"/>
      <c r="H6" s="65"/>
      <c r="I6" s="65"/>
      <c r="J6" s="65"/>
      <c r="K6" s="65"/>
      <c r="L6" s="65"/>
      <c r="M6" s="65"/>
      <c r="N6" s="65"/>
      <c r="O6" s="65"/>
    </row>
    <row r="7" spans="1:15" s="66" customFormat="1" ht="50.25" customHeight="1" x14ac:dyDescent="0.25">
      <c r="A7" s="525" t="str">
        <f t="array" ref="A7">IFERROR( INDEX('GENERAL PROCUREMENT PROCEDURES'!$B$5:$B$7,  SMALL( IF( 'GENERAL PROCUREMENT PROCEDURES'!$C$5:$C$7 = "Non-Compliant", ROW('GENERAL PROCUREMENT PROCEDURES'!$B$5:$B$7)-ROW('GENERAL PROCUREMENT PROCEDURES'!$B$5)+1 ),  ROWS('GENERAL PROCUREMENT PROCEDURES'!$B$5:'GENERAL PROCUREMENT PROCEDURES'!B9)) ),"")</f>
        <v/>
      </c>
      <c r="B7" s="525" t="str">
        <f>IFERROR(VLOOKUP(A7,'GENERAL PROCUREMENT PROCEDURES'!$B:$D,3,0), "")</f>
        <v/>
      </c>
      <c r="C7" s="526"/>
      <c r="D7" s="526"/>
      <c r="E7" s="64"/>
      <c r="F7" s="64"/>
      <c r="G7" s="65"/>
      <c r="H7" s="65"/>
      <c r="I7" s="65"/>
      <c r="J7" s="65"/>
      <c r="K7" s="65"/>
      <c r="L7" s="65"/>
      <c r="M7" s="65"/>
      <c r="N7" s="65"/>
      <c r="O7" s="65"/>
    </row>
    <row r="8" spans="1:15" s="66" customFormat="1" ht="50.25" customHeight="1" x14ac:dyDescent="0.25">
      <c r="A8" s="525" t="str">
        <f t="array" ref="A8">IFERROR( INDEX('GENERAL PROCUREMENT PROCEDURES'!$B$5:$B$7,  SMALL( IF( 'GENERAL PROCUREMENT PROCEDURES'!$C$5:$C$7 = "Non-Compliant", ROW('GENERAL PROCUREMENT PROCEDURES'!$B$5:$B$7)-ROW('GENERAL PROCUREMENT PROCEDURES'!$B$5)+1 ),  ROWS('GENERAL PROCUREMENT PROCEDURES'!$B$5:'GENERAL PROCUREMENT PROCEDURES'!B10)) ),"")</f>
        <v/>
      </c>
      <c r="B8" s="525" t="str">
        <f>IFERROR(VLOOKUP(A8,'GENERAL PROCUREMENT PROCEDURES'!$B:$D,3,0), "")</f>
        <v/>
      </c>
      <c r="C8" s="526"/>
      <c r="D8" s="526"/>
      <c r="E8" s="64"/>
      <c r="F8" s="64"/>
      <c r="G8" s="65"/>
      <c r="H8" s="65"/>
      <c r="I8" s="65"/>
      <c r="J8" s="65"/>
      <c r="K8" s="65"/>
      <c r="L8" s="65"/>
      <c r="M8" s="65"/>
      <c r="N8" s="65"/>
      <c r="O8" s="65"/>
    </row>
    <row r="9" spans="1:15" x14ac:dyDescent="0.25">
      <c r="A9" s="67"/>
      <c r="B9" s="67"/>
      <c r="C9" s="67"/>
      <c r="D9" s="58"/>
      <c r="E9" s="58"/>
      <c r="F9" s="58"/>
      <c r="G9" s="59"/>
      <c r="H9" s="59"/>
      <c r="I9" s="59"/>
      <c r="J9" s="59"/>
      <c r="K9" s="59"/>
      <c r="L9" s="59"/>
      <c r="M9" s="59"/>
      <c r="N9" s="59"/>
      <c r="O9" s="59"/>
    </row>
    <row r="10" spans="1:15" x14ac:dyDescent="0.25">
      <c r="A10" s="67"/>
      <c r="B10" s="67"/>
      <c r="C10" s="67"/>
      <c r="D10" s="58"/>
      <c r="E10" s="58"/>
      <c r="F10" s="58"/>
      <c r="G10" s="59"/>
      <c r="H10" s="59"/>
      <c r="I10" s="59"/>
      <c r="J10" s="59"/>
      <c r="K10" s="59"/>
      <c r="L10" s="59"/>
      <c r="M10" s="59"/>
      <c r="N10" s="59"/>
      <c r="O10" s="59"/>
    </row>
    <row r="11" spans="1:15" x14ac:dyDescent="0.25">
      <c r="A11" s="67"/>
      <c r="B11" s="67"/>
      <c r="C11" s="67"/>
      <c r="D11" s="58"/>
      <c r="E11" s="58"/>
      <c r="F11" s="58"/>
      <c r="G11" s="59"/>
      <c r="H11" s="59"/>
      <c r="I11" s="59"/>
      <c r="J11" s="59"/>
      <c r="K11" s="59"/>
      <c r="L11" s="59"/>
      <c r="M11" s="59"/>
      <c r="N11" s="59"/>
      <c r="O11" s="59"/>
    </row>
    <row r="12" spans="1:15" x14ac:dyDescent="0.25">
      <c r="A12" s="67"/>
      <c r="B12" s="67"/>
      <c r="C12" s="67"/>
      <c r="D12" s="58"/>
      <c r="E12" s="58"/>
      <c r="F12" s="58"/>
      <c r="G12" s="59"/>
      <c r="H12" s="59"/>
      <c r="I12" s="59"/>
      <c r="J12" s="59"/>
      <c r="K12" s="59"/>
      <c r="L12" s="59"/>
      <c r="M12" s="59"/>
      <c r="N12" s="59"/>
      <c r="O12" s="59"/>
    </row>
    <row r="13" spans="1:15" x14ac:dyDescent="0.25">
      <c r="A13" s="67"/>
      <c r="B13" s="67"/>
      <c r="C13" s="67"/>
      <c r="D13" s="58"/>
      <c r="E13" s="58"/>
      <c r="F13" s="58"/>
      <c r="G13" s="59"/>
      <c r="H13" s="59"/>
      <c r="I13" s="59"/>
      <c r="J13" s="59"/>
      <c r="K13" s="59"/>
      <c r="L13" s="59"/>
      <c r="M13" s="59"/>
      <c r="N13" s="59"/>
      <c r="O13" s="59"/>
    </row>
    <row r="14" spans="1:15" x14ac:dyDescent="0.25">
      <c r="A14" s="67"/>
      <c r="B14" s="67"/>
      <c r="C14" s="67"/>
      <c r="D14" s="58"/>
      <c r="E14" s="58"/>
      <c r="F14" s="58"/>
      <c r="G14" s="59"/>
      <c r="H14" s="59"/>
      <c r="I14" s="59"/>
      <c r="J14" s="59"/>
      <c r="K14" s="59"/>
      <c r="L14" s="59"/>
      <c r="M14" s="59"/>
      <c r="N14" s="59"/>
      <c r="O14" s="59"/>
    </row>
    <row r="15" spans="1:15" x14ac:dyDescent="0.25">
      <c r="A15" s="67"/>
      <c r="B15" s="67"/>
      <c r="C15" s="67"/>
      <c r="D15" s="58"/>
      <c r="E15" s="58"/>
      <c r="F15" s="58"/>
      <c r="G15" s="59"/>
      <c r="H15" s="59"/>
      <c r="I15" s="59"/>
      <c r="J15" s="59"/>
      <c r="K15" s="59"/>
      <c r="L15" s="59"/>
      <c r="M15" s="59"/>
      <c r="N15" s="59"/>
      <c r="O15" s="59"/>
    </row>
    <row r="16" spans="1:15" x14ac:dyDescent="0.25">
      <c r="A16" s="67"/>
      <c r="B16" s="67"/>
      <c r="C16" s="67"/>
      <c r="D16" s="58"/>
      <c r="E16" s="58"/>
      <c r="F16" s="58"/>
      <c r="G16" s="59"/>
      <c r="H16" s="59"/>
      <c r="I16" s="59"/>
      <c r="J16" s="59"/>
      <c r="K16" s="59"/>
      <c r="L16" s="59"/>
      <c r="M16" s="59"/>
      <c r="N16" s="59"/>
      <c r="O16" s="59"/>
    </row>
    <row r="17" spans="1:15" x14ac:dyDescent="0.25">
      <c r="A17" s="68"/>
      <c r="B17" s="68"/>
      <c r="C17" s="68"/>
      <c r="D17" s="59"/>
      <c r="E17" s="59"/>
      <c r="F17" s="59"/>
      <c r="G17" s="59"/>
      <c r="H17" s="59"/>
      <c r="I17" s="59"/>
      <c r="J17" s="59"/>
      <c r="K17" s="59"/>
      <c r="L17" s="59"/>
      <c r="M17" s="59"/>
      <c r="N17" s="59"/>
      <c r="O17" s="59"/>
    </row>
    <row r="18" spans="1:15" x14ac:dyDescent="0.25">
      <c r="A18" s="68"/>
      <c r="B18" s="68"/>
      <c r="C18" s="68"/>
      <c r="D18" s="59"/>
      <c r="E18" s="59"/>
      <c r="F18" s="59"/>
      <c r="G18" s="59"/>
      <c r="H18" s="59"/>
      <c r="I18" s="59"/>
      <c r="J18" s="59"/>
      <c r="K18" s="59"/>
      <c r="L18" s="59"/>
      <c r="M18" s="59"/>
      <c r="N18" s="59"/>
      <c r="O18" s="59"/>
    </row>
    <row r="19" spans="1:15" x14ac:dyDescent="0.25">
      <c r="A19" s="68"/>
      <c r="B19" s="68"/>
      <c r="C19" s="68"/>
      <c r="D19" s="59"/>
      <c r="E19" s="59"/>
      <c r="F19" s="59"/>
      <c r="G19" s="59"/>
      <c r="H19" s="59"/>
      <c r="I19" s="59"/>
      <c r="J19" s="59"/>
      <c r="K19" s="59"/>
      <c r="L19" s="59"/>
      <c r="M19" s="59"/>
      <c r="N19" s="59"/>
      <c r="O19" s="59"/>
    </row>
    <row r="20" spans="1:15" x14ac:dyDescent="0.25">
      <c r="A20" s="68"/>
      <c r="B20" s="68"/>
      <c r="C20" s="68"/>
      <c r="D20" s="59"/>
      <c r="E20" s="59"/>
      <c r="F20" s="59"/>
      <c r="G20" s="59"/>
      <c r="H20" s="59"/>
      <c r="I20" s="59"/>
      <c r="J20" s="59"/>
      <c r="K20" s="59"/>
      <c r="L20" s="59"/>
      <c r="M20" s="59"/>
      <c r="N20" s="59"/>
      <c r="O20" s="59"/>
    </row>
    <row r="21" spans="1:15" x14ac:dyDescent="0.25">
      <c r="A21" s="68"/>
      <c r="B21" s="68"/>
      <c r="C21" s="68"/>
      <c r="D21" s="59"/>
      <c r="E21" s="59"/>
      <c r="F21" s="59"/>
      <c r="G21" s="59"/>
      <c r="H21" s="59"/>
      <c r="I21" s="59"/>
      <c r="J21" s="59"/>
      <c r="K21" s="59"/>
      <c r="L21" s="59"/>
      <c r="M21" s="59"/>
      <c r="N21" s="59"/>
      <c r="O21" s="59"/>
    </row>
    <row r="22" spans="1:15" x14ac:dyDescent="0.25">
      <c r="A22" s="68"/>
      <c r="B22" s="68"/>
      <c r="C22" s="68"/>
      <c r="D22" s="59"/>
      <c r="E22" s="59"/>
      <c r="F22" s="59"/>
      <c r="G22" s="59"/>
      <c r="H22" s="59"/>
      <c r="I22" s="59"/>
      <c r="J22" s="59"/>
      <c r="K22" s="59"/>
      <c r="L22" s="59"/>
      <c r="M22" s="59"/>
      <c r="N22" s="59"/>
      <c r="O22" s="59"/>
    </row>
    <row r="23" spans="1:15" x14ac:dyDescent="0.25">
      <c r="A23" s="68"/>
      <c r="B23" s="68"/>
      <c r="C23" s="68"/>
      <c r="D23" s="59"/>
      <c r="E23" s="59"/>
      <c r="F23" s="59"/>
      <c r="G23" s="59"/>
      <c r="H23" s="59"/>
      <c r="I23" s="59"/>
      <c r="J23" s="59"/>
      <c r="K23" s="59"/>
      <c r="L23" s="59"/>
      <c r="M23" s="59"/>
      <c r="N23" s="59"/>
      <c r="O23" s="59"/>
    </row>
    <row r="24" spans="1:15" x14ac:dyDescent="0.25">
      <c r="A24" s="68"/>
      <c r="B24" s="68"/>
      <c r="C24" s="68"/>
      <c r="D24" s="59"/>
      <c r="E24" s="59"/>
      <c r="F24" s="59"/>
      <c r="G24" s="59"/>
      <c r="H24" s="59"/>
      <c r="I24" s="59"/>
      <c r="J24" s="59"/>
      <c r="K24" s="59"/>
      <c r="L24" s="59"/>
      <c r="M24" s="59"/>
      <c r="N24" s="59"/>
      <c r="O24" s="59"/>
    </row>
    <row r="25" spans="1:15" x14ac:dyDescent="0.25">
      <c r="A25" s="68"/>
      <c r="B25" s="68"/>
      <c r="C25" s="68"/>
      <c r="D25" s="59"/>
      <c r="E25" s="59"/>
      <c r="F25" s="59"/>
      <c r="G25" s="59"/>
      <c r="H25" s="59"/>
      <c r="I25" s="59"/>
      <c r="J25" s="59"/>
      <c r="K25" s="59"/>
      <c r="L25" s="59"/>
      <c r="M25" s="59"/>
      <c r="N25" s="59"/>
      <c r="O25" s="59"/>
    </row>
    <row r="26" spans="1:15" x14ac:dyDescent="0.25">
      <c r="A26" s="68"/>
      <c r="B26" s="68"/>
      <c r="C26" s="68"/>
      <c r="D26" s="59"/>
      <c r="E26" s="59"/>
      <c r="F26" s="59"/>
      <c r="G26" s="59"/>
      <c r="H26" s="59"/>
      <c r="I26" s="59"/>
      <c r="J26" s="59"/>
      <c r="K26" s="59"/>
      <c r="L26" s="59"/>
      <c r="M26" s="59"/>
      <c r="N26" s="59"/>
      <c r="O26" s="59"/>
    </row>
    <row r="27" spans="1:15" x14ac:dyDescent="0.25">
      <c r="A27" s="68"/>
      <c r="B27" s="68"/>
      <c r="C27" s="68"/>
      <c r="D27" s="59"/>
      <c r="E27" s="59"/>
      <c r="F27" s="59"/>
      <c r="G27" s="59"/>
      <c r="H27" s="59"/>
      <c r="I27" s="59"/>
      <c r="J27" s="59"/>
      <c r="K27" s="59"/>
      <c r="L27" s="59"/>
      <c r="M27" s="59"/>
      <c r="N27" s="59"/>
      <c r="O27" s="59"/>
    </row>
    <row r="28" spans="1:15" x14ac:dyDescent="0.25">
      <c r="A28" s="68"/>
      <c r="B28" s="68"/>
      <c r="C28" s="68"/>
      <c r="D28" s="59"/>
      <c r="E28" s="59"/>
      <c r="F28" s="59"/>
      <c r="G28" s="59"/>
      <c r="H28" s="59"/>
      <c r="I28" s="59"/>
      <c r="J28" s="59"/>
      <c r="K28" s="59"/>
      <c r="L28" s="59"/>
      <c r="M28" s="59"/>
      <c r="N28" s="59"/>
      <c r="O28" s="59"/>
    </row>
    <row r="29" spans="1:15" x14ac:dyDescent="0.25">
      <c r="A29" s="68"/>
      <c r="B29" s="68"/>
      <c r="C29" s="68"/>
      <c r="D29" s="59"/>
      <c r="E29" s="59"/>
      <c r="F29" s="59"/>
      <c r="G29" s="59"/>
      <c r="H29" s="59"/>
      <c r="I29" s="59"/>
      <c r="J29" s="59"/>
      <c r="K29" s="59"/>
      <c r="L29" s="59"/>
      <c r="M29" s="59"/>
      <c r="N29" s="59"/>
      <c r="O29" s="59"/>
    </row>
    <row r="30" spans="1:15" x14ac:dyDescent="0.25">
      <c r="A30" s="68"/>
      <c r="B30" s="68"/>
      <c r="C30" s="68"/>
      <c r="D30" s="59"/>
      <c r="E30" s="59"/>
      <c r="F30" s="59"/>
      <c r="G30" s="59"/>
      <c r="H30" s="59"/>
      <c r="I30" s="59"/>
      <c r="J30" s="59"/>
      <c r="K30" s="59"/>
      <c r="L30" s="59"/>
      <c r="M30" s="59"/>
      <c r="N30" s="59"/>
      <c r="O30" s="59"/>
    </row>
    <row r="31" spans="1:15" x14ac:dyDescent="0.25">
      <c r="A31" s="68"/>
      <c r="B31" s="68"/>
      <c r="C31" s="68"/>
      <c r="D31" s="59"/>
      <c r="E31" s="59"/>
      <c r="F31" s="59"/>
      <c r="G31" s="59"/>
      <c r="H31" s="59"/>
      <c r="I31" s="59"/>
      <c r="J31" s="59"/>
      <c r="K31" s="59"/>
      <c r="L31" s="59"/>
      <c r="M31" s="59"/>
      <c r="N31" s="59"/>
      <c r="O31" s="59"/>
    </row>
    <row r="32" spans="1:15" x14ac:dyDescent="0.25">
      <c r="A32" s="68"/>
      <c r="B32" s="68"/>
      <c r="C32" s="68"/>
      <c r="D32" s="59"/>
      <c r="E32" s="59"/>
      <c r="F32" s="59"/>
      <c r="G32" s="59"/>
      <c r="H32" s="59"/>
      <c r="I32" s="59"/>
      <c r="J32" s="59"/>
      <c r="K32" s="59"/>
      <c r="L32" s="59"/>
      <c r="M32" s="59"/>
      <c r="N32" s="59"/>
      <c r="O32" s="59"/>
    </row>
    <row r="33" spans="1:15" x14ac:dyDescent="0.25">
      <c r="A33" s="68"/>
      <c r="B33" s="68"/>
      <c r="C33" s="68"/>
      <c r="D33" s="59"/>
      <c r="E33" s="59"/>
      <c r="F33" s="59"/>
      <c r="G33" s="59"/>
      <c r="H33" s="59"/>
      <c r="I33" s="59"/>
      <c r="J33" s="59"/>
      <c r="K33" s="59"/>
      <c r="L33" s="59"/>
      <c r="M33" s="59"/>
      <c r="N33" s="59"/>
      <c r="O33" s="59"/>
    </row>
    <row r="34" spans="1:15" x14ac:dyDescent="0.25">
      <c r="A34" s="68"/>
      <c r="B34" s="68"/>
      <c r="C34" s="68"/>
      <c r="D34" s="59"/>
      <c r="E34" s="59"/>
      <c r="F34" s="59"/>
      <c r="G34" s="59"/>
      <c r="H34" s="59"/>
      <c r="I34" s="59"/>
      <c r="J34" s="59"/>
      <c r="K34" s="59"/>
      <c r="L34" s="59"/>
      <c r="M34" s="59"/>
      <c r="N34" s="59"/>
      <c r="O34" s="59"/>
    </row>
    <row r="35" spans="1:15" x14ac:dyDescent="0.25">
      <c r="A35" s="68"/>
      <c r="B35" s="68"/>
      <c r="C35" s="68"/>
      <c r="D35" s="59"/>
      <c r="E35" s="59"/>
      <c r="F35" s="59"/>
      <c r="G35" s="59"/>
      <c r="H35" s="59"/>
      <c r="I35" s="59"/>
      <c r="J35" s="59"/>
      <c r="K35" s="59"/>
      <c r="L35" s="59"/>
      <c r="M35" s="59"/>
      <c r="N35" s="59"/>
      <c r="O35" s="59"/>
    </row>
    <row r="36" spans="1:15" x14ac:dyDescent="0.25">
      <c r="A36" s="68"/>
      <c r="B36" s="68"/>
      <c r="C36" s="68"/>
      <c r="D36" s="59"/>
      <c r="E36" s="59"/>
      <c r="F36" s="59"/>
      <c r="G36" s="59"/>
      <c r="H36" s="59"/>
      <c r="I36" s="59"/>
      <c r="J36" s="59"/>
      <c r="K36" s="59"/>
      <c r="L36" s="59"/>
      <c r="M36" s="59"/>
      <c r="N36" s="59"/>
      <c r="O36" s="59"/>
    </row>
    <row r="37" spans="1:15" x14ac:dyDescent="0.25">
      <c r="A37" s="68"/>
      <c r="B37" s="68"/>
      <c r="C37" s="68"/>
      <c r="D37" s="59"/>
      <c r="E37" s="59"/>
      <c r="F37" s="59"/>
      <c r="G37" s="59"/>
      <c r="H37" s="59"/>
      <c r="I37" s="59"/>
      <c r="J37" s="59"/>
      <c r="K37" s="59"/>
      <c r="L37" s="59"/>
      <c r="M37" s="59"/>
      <c r="N37" s="59"/>
      <c r="O37" s="59"/>
    </row>
    <row r="38" spans="1:15" x14ac:dyDescent="0.25">
      <c r="A38" s="68"/>
      <c r="B38" s="68"/>
      <c r="C38" s="68"/>
      <c r="D38" s="59"/>
      <c r="E38" s="59"/>
      <c r="F38" s="59"/>
      <c r="G38" s="59"/>
      <c r="H38" s="59"/>
      <c r="I38" s="59"/>
      <c r="J38" s="59"/>
      <c r="K38" s="59"/>
      <c r="L38" s="59"/>
      <c r="M38" s="59"/>
      <c r="N38" s="59"/>
      <c r="O38" s="59"/>
    </row>
    <row r="39" spans="1:15" x14ac:dyDescent="0.25">
      <c r="A39" s="68"/>
      <c r="B39" s="68"/>
      <c r="C39" s="68"/>
      <c r="D39" s="59"/>
      <c r="E39" s="59"/>
      <c r="F39" s="59"/>
      <c r="G39" s="59"/>
      <c r="H39" s="59"/>
      <c r="I39" s="59"/>
      <c r="J39" s="59"/>
      <c r="K39" s="59"/>
      <c r="L39" s="59"/>
      <c r="M39" s="59"/>
      <c r="N39" s="59"/>
      <c r="O39" s="59"/>
    </row>
    <row r="40" spans="1:15" x14ac:dyDescent="0.25">
      <c r="A40" s="68"/>
      <c r="B40" s="68"/>
      <c r="C40" s="68"/>
      <c r="D40" s="59"/>
      <c r="E40" s="59"/>
      <c r="F40" s="59"/>
      <c r="G40" s="59"/>
      <c r="H40" s="59"/>
      <c r="I40" s="59"/>
      <c r="J40" s="59"/>
      <c r="K40" s="59"/>
      <c r="L40" s="59"/>
      <c r="M40" s="59"/>
      <c r="N40" s="59"/>
      <c r="O40" s="59"/>
    </row>
    <row r="41" spans="1:15" x14ac:dyDescent="0.25">
      <c r="A41" s="68"/>
      <c r="B41" s="68"/>
      <c r="C41" s="68"/>
      <c r="D41" s="59"/>
      <c r="E41" s="59"/>
      <c r="F41" s="59"/>
      <c r="G41" s="59"/>
      <c r="H41" s="59"/>
      <c r="I41" s="59"/>
      <c r="J41" s="59"/>
      <c r="K41" s="59"/>
      <c r="L41" s="59"/>
      <c r="M41" s="59"/>
      <c r="N41" s="59"/>
      <c r="O41" s="59"/>
    </row>
    <row r="42" spans="1:15" x14ac:dyDescent="0.25">
      <c r="A42" s="68"/>
      <c r="B42" s="68"/>
      <c r="C42" s="68"/>
      <c r="D42" s="59"/>
      <c r="E42" s="59"/>
      <c r="F42" s="59"/>
      <c r="G42" s="59"/>
      <c r="H42" s="59"/>
      <c r="I42" s="59"/>
      <c r="J42" s="59"/>
      <c r="K42" s="59"/>
      <c r="L42" s="59"/>
      <c r="M42" s="59"/>
      <c r="N42" s="59"/>
      <c r="O42" s="59"/>
    </row>
    <row r="43" spans="1:15" x14ac:dyDescent="0.25">
      <c r="A43" s="68"/>
      <c r="B43" s="68"/>
      <c r="C43" s="68"/>
      <c r="D43" s="59"/>
      <c r="E43" s="59"/>
      <c r="F43" s="59"/>
      <c r="G43" s="59"/>
      <c r="H43" s="59"/>
      <c r="I43" s="59"/>
      <c r="J43" s="59"/>
      <c r="K43" s="59"/>
      <c r="L43" s="59"/>
      <c r="M43" s="59"/>
      <c r="N43" s="59"/>
      <c r="O43" s="59"/>
    </row>
    <row r="44" spans="1:15" x14ac:dyDescent="0.25">
      <c r="A44" s="68"/>
      <c r="B44" s="68"/>
      <c r="C44" s="68"/>
      <c r="D44" s="59"/>
      <c r="E44" s="59"/>
      <c r="F44" s="59"/>
      <c r="G44" s="59"/>
      <c r="H44" s="59"/>
      <c r="I44" s="59"/>
      <c r="J44" s="59"/>
      <c r="K44" s="59"/>
      <c r="L44" s="59"/>
      <c r="M44" s="59"/>
      <c r="N44" s="59"/>
      <c r="O44" s="59"/>
    </row>
    <row r="45" spans="1:15" x14ac:dyDescent="0.25">
      <c r="A45" s="68"/>
      <c r="B45" s="68"/>
      <c r="C45" s="68"/>
      <c r="D45" s="59"/>
      <c r="E45" s="59"/>
      <c r="F45" s="59"/>
      <c r="G45" s="59"/>
      <c r="H45" s="59"/>
      <c r="I45" s="59"/>
      <c r="J45" s="59"/>
      <c r="K45" s="59"/>
      <c r="L45" s="59"/>
      <c r="M45" s="59"/>
      <c r="N45" s="59"/>
      <c r="O45" s="59"/>
    </row>
    <row r="46" spans="1:15" x14ac:dyDescent="0.25">
      <c r="A46" s="68"/>
      <c r="B46" s="68"/>
      <c r="C46" s="68"/>
      <c r="D46" s="59"/>
      <c r="E46" s="59"/>
      <c r="F46" s="59"/>
      <c r="G46" s="59"/>
      <c r="H46" s="59"/>
      <c r="I46" s="59"/>
      <c r="J46" s="59"/>
      <c r="K46" s="59"/>
      <c r="L46" s="59"/>
      <c r="M46" s="59"/>
      <c r="N46" s="59"/>
      <c r="O46" s="59"/>
    </row>
    <row r="47" spans="1:15" x14ac:dyDescent="0.25">
      <c r="A47" s="68"/>
      <c r="B47" s="68"/>
      <c r="C47" s="68"/>
      <c r="D47" s="59"/>
      <c r="E47" s="59"/>
      <c r="F47" s="59"/>
      <c r="G47" s="59"/>
      <c r="H47" s="59"/>
      <c r="I47" s="59"/>
      <c r="J47" s="59"/>
      <c r="K47" s="59"/>
      <c r="L47" s="59"/>
      <c r="M47" s="59"/>
      <c r="N47" s="59"/>
      <c r="O47" s="59"/>
    </row>
    <row r="48" spans="1:15" x14ac:dyDescent="0.25">
      <c r="A48" s="68"/>
      <c r="B48" s="68"/>
      <c r="C48" s="68"/>
      <c r="D48" s="59"/>
      <c r="E48" s="59"/>
      <c r="F48" s="59"/>
      <c r="G48" s="59"/>
      <c r="H48" s="59"/>
      <c r="I48" s="59"/>
      <c r="J48" s="59"/>
      <c r="K48" s="59"/>
      <c r="L48" s="59"/>
      <c r="M48" s="59"/>
      <c r="N48" s="59"/>
      <c r="O48" s="59"/>
    </row>
    <row r="49" spans="1:15" x14ac:dyDescent="0.25">
      <c r="A49" s="68"/>
      <c r="B49" s="68"/>
      <c r="C49" s="68"/>
      <c r="D49" s="59"/>
      <c r="E49" s="59"/>
      <c r="F49" s="59"/>
      <c r="G49" s="59"/>
      <c r="H49" s="59"/>
      <c r="I49" s="59"/>
      <c r="J49" s="59"/>
      <c r="K49" s="59"/>
      <c r="L49" s="59"/>
      <c r="M49" s="59"/>
      <c r="N49" s="59"/>
      <c r="O49" s="59"/>
    </row>
    <row r="50" spans="1:15" x14ac:dyDescent="0.25">
      <c r="A50" s="68"/>
      <c r="B50" s="68"/>
      <c r="C50" s="68"/>
      <c r="D50" s="59"/>
      <c r="E50" s="59"/>
      <c r="F50" s="59"/>
      <c r="G50" s="59"/>
      <c r="H50" s="59"/>
      <c r="I50" s="59"/>
      <c r="J50" s="59"/>
      <c r="K50" s="59"/>
      <c r="L50" s="59"/>
      <c r="M50" s="59"/>
      <c r="N50" s="59"/>
      <c r="O50" s="59"/>
    </row>
    <row r="51" spans="1:15" x14ac:dyDescent="0.25">
      <c r="A51" s="68"/>
      <c r="B51" s="68"/>
      <c r="C51" s="68"/>
      <c r="D51" s="59"/>
      <c r="E51" s="59"/>
      <c r="F51" s="59"/>
      <c r="G51" s="59"/>
      <c r="H51" s="59"/>
      <c r="I51" s="59"/>
      <c r="J51" s="59"/>
      <c r="K51" s="59"/>
      <c r="L51" s="59"/>
      <c r="M51" s="59"/>
      <c r="N51" s="59"/>
      <c r="O51" s="59"/>
    </row>
    <row r="52" spans="1:15" x14ac:dyDescent="0.25">
      <c r="A52" s="68"/>
      <c r="B52" s="68"/>
      <c r="C52" s="68"/>
      <c r="D52" s="59"/>
      <c r="E52" s="59"/>
      <c r="F52" s="59"/>
      <c r="G52" s="59"/>
      <c r="H52" s="59"/>
      <c r="I52" s="59"/>
      <c r="J52" s="59"/>
      <c r="K52" s="59"/>
      <c r="L52" s="59"/>
      <c r="M52" s="59"/>
      <c r="N52" s="59"/>
      <c r="O52" s="59"/>
    </row>
    <row r="53" spans="1:15" x14ac:dyDescent="0.25">
      <c r="A53" s="68"/>
      <c r="B53" s="68"/>
      <c r="C53" s="68"/>
      <c r="D53" s="59"/>
      <c r="E53" s="59"/>
      <c r="F53" s="59"/>
      <c r="G53" s="59"/>
      <c r="H53" s="59"/>
      <c r="I53" s="59"/>
      <c r="J53" s="59"/>
      <c r="K53" s="59"/>
      <c r="L53" s="59"/>
      <c r="M53" s="59"/>
      <c r="N53" s="59"/>
      <c r="O53" s="59"/>
    </row>
    <row r="54" spans="1:15" x14ac:dyDescent="0.25">
      <c r="A54" s="68"/>
      <c r="B54" s="68"/>
      <c r="C54" s="68"/>
      <c r="D54" s="59"/>
      <c r="E54" s="59"/>
      <c r="F54" s="59"/>
      <c r="G54" s="59"/>
      <c r="H54" s="59"/>
      <c r="I54" s="59"/>
      <c r="J54" s="59"/>
      <c r="K54" s="59"/>
      <c r="L54" s="59"/>
      <c r="M54" s="59"/>
      <c r="N54" s="59"/>
      <c r="O54" s="59"/>
    </row>
    <row r="55" spans="1:15" x14ac:dyDescent="0.25">
      <c r="A55" s="68"/>
      <c r="B55" s="68"/>
      <c r="C55" s="68"/>
      <c r="D55" s="59"/>
      <c r="E55" s="59"/>
      <c r="F55" s="59"/>
      <c r="G55" s="59"/>
      <c r="H55" s="59"/>
      <c r="I55" s="59"/>
      <c r="J55" s="59"/>
      <c r="K55" s="59"/>
      <c r="L55" s="59"/>
      <c r="M55" s="59"/>
      <c r="N55" s="59"/>
      <c r="O55" s="59"/>
    </row>
    <row r="56" spans="1:15" x14ac:dyDescent="0.25">
      <c r="A56" s="68"/>
      <c r="B56" s="68"/>
      <c r="C56" s="68"/>
      <c r="D56" s="59"/>
      <c r="E56" s="59"/>
      <c r="F56" s="59"/>
      <c r="G56" s="59"/>
      <c r="H56" s="59"/>
      <c r="I56" s="59"/>
      <c r="J56" s="59"/>
      <c r="K56" s="59"/>
      <c r="L56" s="59"/>
      <c r="M56" s="59"/>
      <c r="N56" s="59"/>
      <c r="O56" s="59"/>
    </row>
    <row r="57" spans="1:15" x14ac:dyDescent="0.25">
      <c r="A57" s="68"/>
      <c r="B57" s="68"/>
      <c r="C57" s="68"/>
      <c r="D57" s="59"/>
      <c r="E57" s="59"/>
      <c r="F57" s="59"/>
      <c r="G57" s="59"/>
      <c r="H57" s="59"/>
      <c r="I57" s="59"/>
      <c r="J57" s="59"/>
      <c r="K57" s="59"/>
      <c r="L57" s="59"/>
      <c r="M57" s="59"/>
      <c r="N57" s="59"/>
      <c r="O57" s="59"/>
    </row>
    <row r="58" spans="1:15" x14ac:dyDescent="0.25">
      <c r="A58" s="68"/>
      <c r="B58" s="68"/>
      <c r="C58" s="68"/>
      <c r="D58" s="59"/>
      <c r="E58" s="59"/>
      <c r="F58" s="59"/>
      <c r="G58" s="59"/>
      <c r="H58" s="59"/>
      <c r="I58" s="59"/>
      <c r="J58" s="59"/>
      <c r="K58" s="59"/>
      <c r="L58" s="59"/>
      <c r="M58" s="59"/>
      <c r="N58" s="59"/>
      <c r="O58" s="59"/>
    </row>
    <row r="59" spans="1:15" x14ac:dyDescent="0.25">
      <c r="A59" s="68"/>
      <c r="B59" s="68"/>
      <c r="C59" s="68"/>
      <c r="D59" s="59"/>
      <c r="E59" s="59"/>
      <c r="F59" s="59"/>
      <c r="G59" s="59"/>
      <c r="H59" s="59"/>
      <c r="I59" s="59"/>
      <c r="J59" s="59"/>
      <c r="K59" s="59"/>
      <c r="L59" s="59"/>
      <c r="M59" s="59"/>
      <c r="N59" s="59"/>
      <c r="O59" s="59"/>
    </row>
    <row r="60" spans="1:15" x14ac:dyDescent="0.25">
      <c r="A60" s="68"/>
      <c r="B60" s="68"/>
      <c r="C60" s="68"/>
      <c r="D60" s="59"/>
      <c r="E60" s="59"/>
      <c r="F60" s="59"/>
      <c r="G60" s="59"/>
      <c r="H60" s="59"/>
      <c r="I60" s="59"/>
      <c r="J60" s="59"/>
      <c r="K60" s="59"/>
      <c r="L60" s="59"/>
      <c r="M60" s="59"/>
      <c r="N60" s="59"/>
      <c r="O60" s="59"/>
    </row>
    <row r="61" spans="1:15" x14ac:dyDescent="0.25">
      <c r="A61" s="68"/>
      <c r="B61" s="68"/>
      <c r="C61" s="68"/>
      <c r="D61" s="59"/>
      <c r="E61" s="59"/>
      <c r="F61" s="59"/>
      <c r="G61" s="59"/>
      <c r="H61" s="59"/>
      <c r="I61" s="59"/>
      <c r="J61" s="59"/>
      <c r="K61" s="59"/>
      <c r="L61" s="59"/>
      <c r="M61" s="59"/>
      <c r="N61" s="59"/>
      <c r="O61" s="59"/>
    </row>
    <row r="62" spans="1:15" x14ac:dyDescent="0.25">
      <c r="A62" s="68"/>
      <c r="B62" s="68"/>
      <c r="C62" s="68"/>
      <c r="D62" s="59"/>
      <c r="E62" s="59"/>
      <c r="F62" s="59"/>
      <c r="G62" s="59"/>
      <c r="H62" s="59"/>
      <c r="I62" s="59"/>
      <c r="J62" s="59"/>
      <c r="K62" s="59"/>
      <c r="L62" s="59"/>
      <c r="M62" s="59"/>
      <c r="N62" s="59"/>
      <c r="O62" s="59"/>
    </row>
    <row r="63" spans="1:15" x14ac:dyDescent="0.25">
      <c r="A63" s="68"/>
      <c r="B63" s="68"/>
      <c r="C63" s="68"/>
      <c r="D63" s="59"/>
      <c r="E63" s="59"/>
      <c r="F63" s="59"/>
      <c r="G63" s="59"/>
      <c r="H63" s="59"/>
      <c r="I63" s="59"/>
      <c r="J63" s="59"/>
      <c r="K63" s="59"/>
      <c r="L63" s="59"/>
      <c r="M63" s="59"/>
      <c r="N63" s="59"/>
      <c r="O63" s="59"/>
    </row>
    <row r="64" spans="1:15" x14ac:dyDescent="0.25">
      <c r="A64" s="68"/>
      <c r="B64" s="68"/>
      <c r="C64" s="68"/>
      <c r="D64" s="59"/>
      <c r="E64" s="59"/>
      <c r="F64" s="59"/>
      <c r="G64" s="59"/>
      <c r="H64" s="59"/>
      <c r="I64" s="59"/>
      <c r="J64" s="59"/>
      <c r="K64" s="59"/>
      <c r="L64" s="59"/>
      <c r="M64" s="59"/>
      <c r="N64" s="59"/>
      <c r="O64" s="59"/>
    </row>
    <row r="65" spans="1:15" x14ac:dyDescent="0.25">
      <c r="A65" s="68"/>
      <c r="B65" s="68"/>
      <c r="C65" s="68"/>
      <c r="D65" s="59"/>
      <c r="E65" s="59"/>
      <c r="F65" s="59"/>
      <c r="G65" s="59"/>
      <c r="H65" s="59"/>
      <c r="I65" s="59"/>
      <c r="J65" s="59"/>
      <c r="K65" s="59"/>
      <c r="L65" s="59"/>
      <c r="M65" s="59"/>
      <c r="N65" s="59"/>
      <c r="O65" s="59"/>
    </row>
    <row r="66" spans="1:15" x14ac:dyDescent="0.25">
      <c r="A66" s="68"/>
      <c r="B66" s="68"/>
      <c r="C66" s="68"/>
      <c r="D66" s="59"/>
      <c r="E66" s="59"/>
      <c r="F66" s="59"/>
      <c r="G66" s="59"/>
      <c r="H66" s="59"/>
      <c r="I66" s="59"/>
      <c r="J66" s="59"/>
      <c r="K66" s="59"/>
      <c r="L66" s="59"/>
      <c r="M66" s="59"/>
      <c r="N66" s="59"/>
      <c r="O66" s="59"/>
    </row>
    <row r="67" spans="1:15" x14ac:dyDescent="0.25">
      <c r="A67" s="68"/>
      <c r="B67" s="68"/>
      <c r="C67" s="68"/>
      <c r="D67" s="59"/>
      <c r="E67" s="59"/>
      <c r="F67" s="59"/>
      <c r="G67" s="59"/>
      <c r="H67" s="59"/>
      <c r="I67" s="59"/>
      <c r="J67" s="59"/>
      <c r="K67" s="59"/>
      <c r="L67" s="59"/>
      <c r="M67" s="59"/>
      <c r="N67" s="59"/>
      <c r="O67" s="59"/>
    </row>
    <row r="68" spans="1:15" x14ac:dyDescent="0.25">
      <c r="A68" s="68"/>
      <c r="B68" s="68"/>
      <c r="C68" s="68"/>
      <c r="D68" s="59"/>
      <c r="E68" s="59"/>
      <c r="F68" s="59"/>
      <c r="G68" s="59"/>
      <c r="H68" s="59"/>
      <c r="I68" s="59"/>
      <c r="J68" s="59"/>
      <c r="K68" s="59"/>
      <c r="L68" s="59"/>
      <c r="M68" s="59"/>
      <c r="N68" s="59"/>
      <c r="O68" s="59"/>
    </row>
    <row r="69" spans="1:15" x14ac:dyDescent="0.25">
      <c r="A69" s="68"/>
      <c r="B69" s="68"/>
      <c r="C69" s="68"/>
      <c r="D69" s="59"/>
      <c r="E69" s="59"/>
      <c r="F69" s="59"/>
      <c r="G69" s="59"/>
      <c r="H69" s="59"/>
      <c r="I69" s="59"/>
      <c r="J69" s="59"/>
      <c r="K69" s="59"/>
      <c r="L69" s="59"/>
      <c r="M69" s="59"/>
      <c r="N69" s="59"/>
      <c r="O69" s="59"/>
    </row>
    <row r="70" spans="1:15" x14ac:dyDescent="0.25">
      <c r="A70" s="68"/>
      <c r="B70" s="68"/>
      <c r="C70" s="68"/>
      <c r="D70" s="59"/>
      <c r="E70" s="59"/>
      <c r="F70" s="59"/>
      <c r="G70" s="59"/>
      <c r="H70" s="59"/>
      <c r="I70" s="59"/>
      <c r="J70" s="59"/>
      <c r="K70" s="59"/>
      <c r="L70" s="59"/>
      <c r="M70" s="59"/>
      <c r="N70" s="59"/>
      <c r="O70" s="59"/>
    </row>
    <row r="71" spans="1:15" x14ac:dyDescent="0.25">
      <c r="A71" s="68"/>
      <c r="B71" s="68"/>
      <c r="C71" s="68"/>
      <c r="D71" s="59"/>
      <c r="E71" s="59"/>
      <c r="F71" s="59"/>
      <c r="G71" s="59"/>
      <c r="H71" s="59"/>
      <c r="I71" s="59"/>
      <c r="J71" s="59"/>
      <c r="K71" s="59"/>
      <c r="L71" s="59"/>
      <c r="M71" s="59"/>
      <c r="N71" s="59"/>
      <c r="O71" s="59"/>
    </row>
    <row r="72" spans="1:15" x14ac:dyDescent="0.25">
      <c r="A72" s="68"/>
      <c r="B72" s="68"/>
      <c r="C72" s="68"/>
      <c r="D72" s="59"/>
      <c r="E72" s="59"/>
      <c r="F72" s="59"/>
      <c r="G72" s="59"/>
      <c r="H72" s="59"/>
      <c r="I72" s="59"/>
      <c r="J72" s="59"/>
      <c r="K72" s="59"/>
      <c r="L72" s="59"/>
      <c r="M72" s="59"/>
      <c r="N72" s="59"/>
      <c r="O72" s="59"/>
    </row>
    <row r="73" spans="1:15" x14ac:dyDescent="0.25">
      <c r="A73" s="68"/>
      <c r="B73" s="68"/>
      <c r="C73" s="68"/>
      <c r="D73" s="59"/>
      <c r="E73" s="59"/>
      <c r="F73" s="59"/>
      <c r="G73" s="59"/>
      <c r="H73" s="59"/>
      <c r="I73" s="59"/>
      <c r="J73" s="59"/>
      <c r="K73" s="59"/>
      <c r="L73" s="59"/>
      <c r="M73" s="59"/>
      <c r="N73" s="59"/>
      <c r="O73" s="59"/>
    </row>
    <row r="74" spans="1:15" x14ac:dyDescent="0.25">
      <c r="A74" s="68"/>
      <c r="B74" s="68"/>
      <c r="C74" s="68"/>
      <c r="D74" s="59"/>
      <c r="E74" s="59"/>
      <c r="F74" s="59"/>
      <c r="G74" s="59"/>
      <c r="H74" s="59"/>
      <c r="I74" s="59"/>
      <c r="J74" s="59"/>
      <c r="K74" s="59"/>
      <c r="L74" s="59"/>
      <c r="M74" s="59"/>
      <c r="N74" s="59"/>
      <c r="O74" s="59"/>
    </row>
    <row r="75" spans="1:15" x14ac:dyDescent="0.25">
      <c r="A75" s="68"/>
      <c r="B75" s="68"/>
      <c r="C75" s="68"/>
      <c r="D75" s="59"/>
      <c r="E75" s="59"/>
      <c r="F75" s="59"/>
      <c r="G75" s="59"/>
      <c r="H75" s="59"/>
      <c r="I75" s="59"/>
      <c r="J75" s="59"/>
      <c r="K75" s="59"/>
      <c r="L75" s="59"/>
      <c r="M75" s="59"/>
      <c r="N75" s="59"/>
      <c r="O75" s="59"/>
    </row>
    <row r="76" spans="1:15" x14ac:dyDescent="0.25">
      <c r="A76" s="68"/>
      <c r="B76" s="68"/>
      <c r="C76" s="68"/>
      <c r="D76" s="59"/>
      <c r="E76" s="59"/>
      <c r="F76" s="59"/>
      <c r="G76" s="59"/>
      <c r="H76" s="59"/>
      <c r="I76" s="59"/>
      <c r="J76" s="59"/>
      <c r="K76" s="59"/>
      <c r="L76" s="59"/>
      <c r="M76" s="59"/>
      <c r="N76" s="59"/>
      <c r="O76" s="59"/>
    </row>
  </sheetData>
  <mergeCells count="1">
    <mergeCell ref="A1:D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Y57"/>
  <sheetViews>
    <sheetView topLeftCell="E1" zoomScale="55" zoomScaleNormal="55" workbookViewId="0">
      <selection activeCell="F4" sqref="F4"/>
    </sheetView>
  </sheetViews>
  <sheetFormatPr defaultColWidth="25.5703125" defaultRowHeight="15" x14ac:dyDescent="0.25"/>
  <cols>
    <col min="1" max="1" width="76.42578125" style="69" customWidth="1"/>
    <col min="2" max="2" width="24.140625" style="69" customWidth="1"/>
    <col min="3" max="3" width="35.5703125" style="69" bestFit="1" customWidth="1"/>
    <col min="4" max="4" width="35.5703125" style="69" customWidth="1"/>
    <col min="5" max="5" width="12.5703125" style="69" customWidth="1"/>
    <col min="6" max="6" width="42" style="69" customWidth="1"/>
    <col min="7" max="7" width="24.140625" style="69" customWidth="1"/>
    <col min="8" max="8" width="35.5703125" style="69" bestFit="1" customWidth="1"/>
    <col min="9" max="9" width="35.5703125" style="69" customWidth="1"/>
    <col min="10" max="10" width="12.5703125" style="69" customWidth="1"/>
    <col min="11" max="11" width="42" style="69" customWidth="1"/>
    <col min="12" max="12" width="24.140625" style="69" customWidth="1"/>
    <col min="13" max="13" width="35.5703125" style="69" bestFit="1" customWidth="1"/>
    <col min="14" max="14" width="35.5703125" style="69" customWidth="1"/>
    <col min="15" max="15" width="12.5703125" style="69" customWidth="1"/>
    <col min="16" max="16" width="42" style="69" customWidth="1"/>
    <col min="17" max="17" width="24.140625" style="69" customWidth="1"/>
    <col min="18" max="18" width="35.5703125" style="69" bestFit="1" customWidth="1"/>
    <col min="19" max="19" width="35.5703125" style="69" customWidth="1"/>
    <col min="20" max="20" width="12.5703125" style="69" customWidth="1"/>
    <col min="21" max="25" width="25.5703125" style="59"/>
    <col min="26" max="16384" width="25.5703125" style="60"/>
  </cols>
  <sheetData>
    <row r="1" spans="1:25" ht="46.5" x14ac:dyDescent="0.25">
      <c r="A1" s="766" t="str">
        <f>'SFA PROCUREMENT TABLE'!$A$1:$D$1&amp;" - "&amp;"Micropurchase Findings"</f>
        <v xml:space="preserve"> - Micropurchase Findings</v>
      </c>
      <c r="B1" s="767"/>
      <c r="C1" s="767"/>
      <c r="D1" s="767"/>
      <c r="E1" s="767"/>
      <c r="F1" s="767"/>
      <c r="G1" s="767"/>
      <c r="H1" s="767"/>
      <c r="I1" s="767"/>
      <c r="J1" s="767"/>
      <c r="K1" s="767"/>
      <c r="L1" s="767"/>
      <c r="M1" s="767"/>
      <c r="N1" s="767"/>
      <c r="O1" s="767"/>
      <c r="P1" s="767"/>
      <c r="Q1" s="767"/>
      <c r="R1" s="767"/>
      <c r="S1" s="767"/>
      <c r="T1" s="767"/>
    </row>
    <row r="2" spans="1:25" ht="48.75" customHeight="1" x14ac:dyDescent="0.25">
      <c r="A2" s="768">
        <f t="array" ref="A2">IFERROR( INDEX('SFA PROCUREMENT TABLE'!$A$40:$A$47,  SMALL( IF('SFA PROCUREMENT TABLE'!$F$40:$F$47 = "Select for Review", ROW('SFA PROCUREMENT TABLE'!$A$40:$A$47)-ROW('SFA PROCUREMENT TABLE'!$A$40)+1 ),  ROWS('SFA PROCUREMENT TABLE'!$A$40:'SFA PROCUREMENT TABLE'!A40)) ),"")</f>
        <v>0</v>
      </c>
      <c r="B2" s="769"/>
      <c r="C2" s="769"/>
      <c r="D2" s="770"/>
      <c r="E2" s="67"/>
      <c r="F2" s="768" t="str">
        <f t="array" ref="F2">IFERROR( INDEX('SFA PROCUREMENT TABLE'!$A$40:$A$47,  SMALL( IF('SFA PROCUREMENT TABLE'!$F$40:$F$47 = "Select for Review", ROW('SFA PROCUREMENT TABLE'!$A$40:$A$47)-ROW('SFA PROCUREMENT TABLE'!$A$40)+1 ),  ROWS('SFA PROCUREMENT TABLE'!$A$40:'SFA PROCUREMENT TABLE'!A41)) ),"")</f>
        <v/>
      </c>
      <c r="G2" s="769"/>
      <c r="H2" s="769"/>
      <c r="I2" s="770"/>
      <c r="J2" s="67"/>
      <c r="K2" s="768" t="str">
        <f t="array" ref="K2">IFERROR( INDEX('SFA PROCUREMENT TABLE'!$A$40:$A$47,  SMALL( IF('SFA PROCUREMENT TABLE'!$F$40:$F$47 = "Select for Review", ROW('SFA PROCUREMENT TABLE'!$A$40:$A$47)-ROW('SFA PROCUREMENT TABLE'!$A$40)+1 ),  ROWS('SFA PROCUREMENT TABLE'!$A$40:'SFA PROCUREMENT TABLE'!A42)) ),"")</f>
        <v/>
      </c>
      <c r="L2" s="769"/>
      <c r="M2" s="769"/>
      <c r="N2" s="770"/>
      <c r="O2" s="67"/>
      <c r="P2" s="768" t="str">
        <f t="array" ref="P2">IFERROR( INDEX('SFA PROCUREMENT TABLE'!$A$40:$A$47,  SMALL( IF('SFA PROCUREMENT TABLE'!$F$40:$F$47 = "Select for Review", ROW('SFA PROCUREMENT TABLE'!$A$40:$A$47)-ROW('SFA PROCUREMENT TABLE'!$A$40)+1 ),  ROWS('SFA PROCUREMENT TABLE'!$A$40:'SFA PROCUREMENT TABLE'!A44)) ),"")</f>
        <v/>
      </c>
      <c r="Q2" s="769"/>
      <c r="R2" s="769"/>
      <c r="S2" s="770"/>
      <c r="T2" s="67"/>
    </row>
    <row r="3" spans="1:25" s="74" customFormat="1" ht="42" x14ac:dyDescent="0.25">
      <c r="A3" s="70" t="s">
        <v>39</v>
      </c>
      <c r="B3" s="70" t="s">
        <v>38</v>
      </c>
      <c r="C3" s="70" t="s">
        <v>231</v>
      </c>
      <c r="D3" s="70" t="s">
        <v>232</v>
      </c>
      <c r="E3" s="71"/>
      <c r="F3" s="70" t="s">
        <v>39</v>
      </c>
      <c r="G3" s="70" t="s">
        <v>38</v>
      </c>
      <c r="H3" s="70" t="s">
        <v>231</v>
      </c>
      <c r="I3" s="70" t="s">
        <v>232</v>
      </c>
      <c r="J3" s="71"/>
      <c r="K3" s="70" t="s">
        <v>39</v>
      </c>
      <c r="L3" s="70" t="s">
        <v>38</v>
      </c>
      <c r="M3" s="70" t="s">
        <v>231</v>
      </c>
      <c r="N3" s="70" t="s">
        <v>232</v>
      </c>
      <c r="O3" s="71"/>
      <c r="P3" s="70" t="s">
        <v>39</v>
      </c>
      <c r="Q3" s="70" t="s">
        <v>38</v>
      </c>
      <c r="R3" s="70" t="s">
        <v>231</v>
      </c>
      <c r="S3" s="70" t="s">
        <v>232</v>
      </c>
      <c r="T3" s="71"/>
      <c r="U3" s="73"/>
      <c r="V3" s="73"/>
      <c r="W3" s="73"/>
      <c r="X3" s="73"/>
      <c r="Y3" s="73"/>
    </row>
    <row r="4" spans="1:25" s="66" customFormat="1" ht="42" customHeight="1" x14ac:dyDescent="0.25">
      <c r="A4" s="56" t="str">
        <f t="array" ref="A4">IF($A$2 &lt;&gt; "",IFERROR( INDEX(MICROPURCHASES!$B$4:$B$8,  SMALL( IF( MICROPURCHASES!$D$4:$G$8 = $A$2, ROW(MICROPURCHASES!$B$4:$B$8)-ROW(MICROPURCHASES!$B$4)+1 ),  ROWS(MICROPURCHASES!$B$4:'MICROPURCHASES'!B4)) ),""),"")</f>
        <v xml:space="preserve">1) Based on a review of invoices/receipts, is the SFA compliant with having each vendor transaction below $10,000? [2 CFR 200.320(a)] </v>
      </c>
      <c r="B4" s="57" t="str">
        <f>IFERROR(VLOOKUP(A4,MICROPURCHASES!$B:$H,7,0), "")</f>
        <v/>
      </c>
      <c r="C4" s="63"/>
      <c r="D4" s="63"/>
      <c r="E4" s="75"/>
      <c r="F4" s="56" t="str">
        <f t="array" ref="F4">IFERROR( IF($F$2 &lt;&gt; "",INDEX(MICROPURCHASES!$B$4:$B$8,  SMALL( IF( MICROPURCHASES!$D$4:$G$8 = $F$2, ROW(MICROPURCHASES!$B$4:$B$8)-ROW(MICROPURCHASES!$B$4)+1 ),  ROWS(MICROPURCHASES!$B$4:'MICROPURCHASES'!B4)) ),""),"")</f>
        <v/>
      </c>
      <c r="G4" s="57" t="str">
        <f>IFERROR(VLOOKUP(F4,MICROPURCHASES!$B:$H,7,0), "")</f>
        <v/>
      </c>
      <c r="H4" s="63"/>
      <c r="I4" s="63"/>
      <c r="J4" s="75"/>
      <c r="K4" s="56" t="str">
        <f>IFERROR( IF($K$2 &lt;&gt; "",INDEX(MICROPURCHASES!$B$4:$B$8,  SMALL( IF( MICROPURCHASES!$D$4:$G$8 = $K$2, ROW(MICROPURCHASES!$B$4:$B$8)-ROW(MICROPURCHASES!$B$4)+1 ),  ROWS(MICROPURCHASES!$B$4:'MICROPURCHASES'!B4)) ),""),"")</f>
        <v/>
      </c>
      <c r="L4" s="57" t="str">
        <f>IFERROR(VLOOKUP(K4,MICROPURCHASES!$B:$H,7,0), "")</f>
        <v/>
      </c>
      <c r="M4" s="63"/>
      <c r="N4" s="63"/>
      <c r="O4" s="75"/>
      <c r="P4" s="56" t="str">
        <f>IFERROR( IF($P$2 &lt;&gt; "",INDEX(MICROPURCHASES!$B$4:$B$8,  SMALL( IF( MICROPURCHASES!$D$4:$G$8 = $P$2, ROW(MICROPURCHASES!$B$4:$B$8)-ROW(MICROPURCHASES!$B$4)+1 ),  ROWS(MICROPURCHASES!$B$4:'MICROPURCHASES'!B4)) ),""),"")</f>
        <v/>
      </c>
      <c r="Q4" s="57" t="str">
        <f>IFERROR(VLOOKUP(P4,MICROPURCHASES!$B:$H,7,0), "")</f>
        <v/>
      </c>
      <c r="R4" s="63"/>
      <c r="S4" s="63"/>
      <c r="T4" s="75"/>
      <c r="U4" s="65"/>
      <c r="V4" s="65"/>
      <c r="W4" s="65"/>
      <c r="X4" s="65"/>
      <c r="Y4" s="65"/>
    </row>
    <row r="5" spans="1:25" s="66" customFormat="1" ht="42" customHeight="1" x14ac:dyDescent="0.25">
      <c r="A5" s="56" t="str">
        <f t="array" ref="A5">IF($A$2 &lt;&gt; "",IFERROR( INDEX(MICROPURCHASES!$B$4:$B$8,  SMALL( IF( MICROPURCHASES!$D$4:$G$8 = $A$2, ROW(MICROPURCHASES!$B$4:$B$8)-ROW(MICROPURCHASES!$B$4)+1 ),  ROWS(MICROPURCHASES!$B$4:'MICROPURCHASES'!B5)) ),""),"")</f>
        <v xml:space="preserve">1) Based on a review of invoices/receipts, is the SFA compliant with having each vendor transaction below $10,000? [2 CFR 200.320(a)] </v>
      </c>
      <c r="B5" s="57" t="str">
        <f>IFERROR(VLOOKUP(A5,MICROPURCHASES!$B:$H,7,0), "")</f>
        <v/>
      </c>
      <c r="C5" s="63"/>
      <c r="D5" s="63"/>
      <c r="E5" s="75"/>
      <c r="F5" s="56" t="str">
        <f t="array" ref="F5">IFERROR( IF($F$2 &lt;&gt; "",INDEX(MICROPURCHASES!$B$4:$B$8,  SMALL( IF( MICROPURCHASES!$D$4:$G$8 = $F$2, ROW(MICROPURCHASES!$B$4:$B$8)-ROW(MICROPURCHASES!$B$4)+1 ),  ROWS(MICROPURCHASES!$B$4:'MICROPURCHASES'!B5)) ),""),"")</f>
        <v/>
      </c>
      <c r="G5" s="57" t="str">
        <f>IFERROR(VLOOKUP(F5,MICROPURCHASES!$B:$H,7,0), "")</f>
        <v/>
      </c>
      <c r="H5" s="63"/>
      <c r="I5" s="63"/>
      <c r="J5" s="75"/>
      <c r="K5" s="56" t="str">
        <f>IFERROR( IF($K$2 &lt;&gt; "",INDEX(MICROPURCHASES!$B$4:$B$8,  SMALL( IF( MICROPURCHASES!$D$4:$G$8 = $K$2, ROW(MICROPURCHASES!$B$4:$B$8)-ROW(MICROPURCHASES!$B$4)+1 ),  ROWS(MICROPURCHASES!$B$4:'MICROPURCHASES'!B5)) ),""),"")</f>
        <v/>
      </c>
      <c r="L5" s="57" t="str">
        <f>IFERROR(VLOOKUP(K5,MICROPURCHASES!$B:$H,7,0), "")</f>
        <v/>
      </c>
      <c r="M5" s="63"/>
      <c r="N5" s="63"/>
      <c r="O5" s="75"/>
      <c r="P5" s="56" t="str">
        <f>IFERROR( IF($P$2 &lt;&gt; "",INDEX(MICROPURCHASES!$B$4:$B$8,  SMALL( IF( MICROPURCHASES!$D$4:$G$8 = $P$2, ROW(MICROPURCHASES!$B$4:$B$8)-ROW(MICROPURCHASES!$B$4)+1 ),  ROWS(MICROPURCHASES!$B$4:'MICROPURCHASES'!B5)) ),""),"")</f>
        <v/>
      </c>
      <c r="Q5" s="57" t="str">
        <f>IFERROR(VLOOKUP(P5,MICROPURCHASES!$B:$H,7,0), "")</f>
        <v/>
      </c>
      <c r="R5" s="63"/>
      <c r="S5" s="63"/>
      <c r="T5" s="75"/>
      <c r="U5" s="65"/>
      <c r="V5" s="65"/>
      <c r="W5" s="65"/>
      <c r="X5" s="65"/>
      <c r="Y5" s="65"/>
    </row>
    <row r="6" spans="1:25" s="66" customFormat="1" ht="42" customHeight="1" x14ac:dyDescent="0.25">
      <c r="A6" s="56" t="str">
        <f t="array" ref="A6">IF($A$2 &lt;&gt; "",IFERROR( INDEX(MICROPURCHASES!$B$4:$B$8,  SMALL( IF( MICROPURCHASES!$D$4:$G$8 = $A$2, ROW(MICROPURCHASES!$B$4:$B$8)-ROW(MICROPURCHASES!$B$4)+1 ),  ROWS(MICROPURCHASES!$B$4:'MICROPURCHASES'!B6)) ),""),"")</f>
        <v>2) If the SFA paid a membership to a club warehouse, third-party entity, etc., are the purchases made from this entity necessary, reasonable, and equitably distributed among qualified sources/vendors?</v>
      </c>
      <c r="B6" s="57" t="str">
        <f>IFERROR(VLOOKUP(A6,MICROPURCHASES!$B:$H,7,0), "")</f>
        <v/>
      </c>
      <c r="C6" s="63"/>
      <c r="D6" s="63"/>
      <c r="E6" s="75"/>
      <c r="F6" s="56" t="str">
        <f t="array" ref="F6">IFERROR( IF($F$2 &lt;&gt; "",INDEX(MICROPURCHASES!$B$4:$B$8,  SMALL( IF( MICROPURCHASES!$D$4:$G$8 = $F$2, ROW(MICROPURCHASES!$B$4:$B$8)-ROW(MICROPURCHASES!$B$4)+1 ),  ROWS(MICROPURCHASES!$B$4:'MICROPURCHASES'!B6)) ),""),"")</f>
        <v/>
      </c>
      <c r="G6" s="57" t="str">
        <f>IFERROR(VLOOKUP(F6,MICROPURCHASES!$B:$H,7,0), "")</f>
        <v/>
      </c>
      <c r="H6" s="63"/>
      <c r="I6" s="63"/>
      <c r="J6" s="75"/>
      <c r="K6" s="56" t="str">
        <f>IFERROR( IF($K$2 &lt;&gt; "",INDEX(MICROPURCHASES!$B$4:$B$8,  SMALL( IF( MICROPURCHASES!$D$4:$G$8 = $K$2, ROW(MICROPURCHASES!$B$4:$B$8)-ROW(MICROPURCHASES!$B$4)+1 ),  ROWS(MICROPURCHASES!$B$4:'MICROPURCHASES'!B6)) ),""),"")</f>
        <v/>
      </c>
      <c r="L6" s="57" t="str">
        <f>IFERROR(VLOOKUP(K6,MICROPURCHASES!$B:$H,7,0), "")</f>
        <v/>
      </c>
      <c r="M6" s="63"/>
      <c r="N6" s="63"/>
      <c r="O6" s="75"/>
      <c r="P6" s="56" t="str">
        <f>IFERROR( IF($P$2 &lt;&gt; "",INDEX(MICROPURCHASES!$B$4:$B$8,  SMALL( IF( MICROPURCHASES!$D$4:$G$8 = $P$2, ROW(MICROPURCHASES!$B$4:$B$8)-ROW(MICROPURCHASES!$B$4)+1 ),  ROWS(MICROPURCHASES!$B$4:'MICROPURCHASES'!B6)) ),""),"")</f>
        <v/>
      </c>
      <c r="Q6" s="57" t="str">
        <f>IFERROR(VLOOKUP(P6,MICROPURCHASES!$B:$H,7,0), "")</f>
        <v/>
      </c>
      <c r="R6" s="63"/>
      <c r="S6" s="63"/>
      <c r="T6" s="75"/>
      <c r="U6" s="65"/>
      <c r="V6" s="65"/>
      <c r="W6" s="65"/>
      <c r="X6" s="65"/>
      <c r="Y6" s="65"/>
    </row>
    <row r="7" spans="1:25" s="66" customFormat="1" ht="42" customHeight="1" x14ac:dyDescent="0.25">
      <c r="A7" s="56" t="str">
        <f t="array" ref="A7">IF($A$2 &lt;&gt; "",IFERROR( INDEX(MICROPURCHASES!$B$4:$B$8,  SMALL( IF( MICROPURCHASES!$D$4:$G$8 = $A$2, ROW(MICROPURCHASES!$B$4:$B$8)-ROW(MICROPURCHASES!$B$4)+1 ),  ROWS(MICROPURCHASES!$B$4:'MICROPURCHASES'!B7)) ),""),"")</f>
        <v>2) If the SFA paid a membership to a club warehouse, third-party entity, etc., are the purchases made from this entity necessary, reasonable, and equitably distributed among qualified sources/vendors?</v>
      </c>
      <c r="B7" s="57" t="str">
        <f>IFERROR(VLOOKUP(A7,MICROPURCHASES!$B:$H,7,0), "")</f>
        <v/>
      </c>
      <c r="C7" s="63"/>
      <c r="D7" s="63"/>
      <c r="E7" s="75"/>
      <c r="F7" s="56" t="str">
        <f t="array" ref="F7">IFERROR( IF($F$2 &lt;&gt; "",INDEX(MICROPURCHASES!$B$4:$B$8,  SMALL( IF( MICROPURCHASES!$D$4:$G$8 = $F$2, ROW(MICROPURCHASES!$B$4:$B$8)-ROW(MICROPURCHASES!$B$4)+1 ),  ROWS(MICROPURCHASES!$B$4:'MICROPURCHASES'!B7)) ),""),"")</f>
        <v/>
      </c>
      <c r="G7" s="57" t="str">
        <f>IFERROR(VLOOKUP(F7,MICROPURCHASES!$B:$H,7,0), "")</f>
        <v/>
      </c>
      <c r="H7" s="63"/>
      <c r="I7" s="63"/>
      <c r="J7" s="75"/>
      <c r="K7" s="56" t="str">
        <f>IFERROR( IF($K$2 &lt;&gt; "",INDEX(MICROPURCHASES!$B$4:$B$8,  SMALL( IF( MICROPURCHASES!$D$4:$G$8 = $K$2, ROW(MICROPURCHASES!$B$4:$B$8)-ROW(MICROPURCHASES!$B$4)+1 ),  ROWS(MICROPURCHASES!$B$4:'MICROPURCHASES'!B7)) ),""),"")</f>
        <v/>
      </c>
      <c r="L7" s="57" t="str">
        <f>IFERROR(VLOOKUP(K7,MICROPURCHASES!$B:$H,7,0), "")</f>
        <v/>
      </c>
      <c r="M7" s="63"/>
      <c r="N7" s="63"/>
      <c r="O7" s="75"/>
      <c r="P7" s="56" t="str">
        <f>IFERROR( IF($P$2 &lt;&gt; "",INDEX(MICROPURCHASES!$B$4:$B$8,  SMALL( IF( MICROPURCHASES!$D$4:$G$8 = $P$2, ROW(MICROPURCHASES!$B$4:$B$8)-ROW(MICROPURCHASES!$B$4)+1 ),  ROWS(MICROPURCHASES!$B$4:'MICROPURCHASES'!B7)) ),""),"")</f>
        <v/>
      </c>
      <c r="Q7" s="57" t="str">
        <f>IFERROR(VLOOKUP(P7,MICROPURCHASES!$B:$H,7,0), "")</f>
        <v/>
      </c>
      <c r="R7" s="63"/>
      <c r="S7" s="63"/>
      <c r="T7" s="75"/>
      <c r="U7" s="65"/>
      <c r="V7" s="65"/>
      <c r="W7" s="65"/>
      <c r="X7" s="65"/>
      <c r="Y7" s="65"/>
    </row>
    <row r="8" spans="1:25" ht="47.25" x14ac:dyDescent="0.25">
      <c r="A8" s="56" t="str">
        <f t="array" ref="A8">IF($A$2 &lt;&gt; "",IFERROR( INDEX(MICROPURCHASES!$B$4:$B$8,  SMALL( IF( MICROPURCHASES!$D$4:$G$8 = $A$2, ROW(MICROPURCHASES!$B$4:$B$8)-ROW(MICROPURCHASES!$B$4)+1 ),  ROWS(MICROPURCHASES!$B$4:'MICROPURCHASES'!B8)) ),""),"")</f>
        <v>3) Based on a review of invoices/receipts, is the SFA compliant with distributing purchases equitably among all qualified sources?  [2 CFR 200.320(a)]</v>
      </c>
      <c r="B8" s="57" t="str">
        <f>IFERROR(VLOOKUP(A8,MICROPURCHASES!$B:$H,7,0), "")</f>
        <v/>
      </c>
      <c r="C8" s="63"/>
      <c r="D8" s="63"/>
      <c r="E8" s="75"/>
      <c r="F8" s="56" t="str">
        <f t="array" ref="F8">IFERROR( IF($F$2 &lt;&gt; "",INDEX(MICROPURCHASES!$B$4:$B$8,  SMALL( IF( MICROPURCHASES!$D$4:$G$8 = $F$2, ROW(MICROPURCHASES!$B$4:$B$8)-ROW(MICROPURCHASES!$B$4)+1 ),  ROWS(MICROPURCHASES!$B$4:'MICROPURCHASES'!B8)) ),""),"")</f>
        <v/>
      </c>
      <c r="G8" s="57" t="str">
        <f>IFERROR(VLOOKUP(F8,MICROPURCHASES!$B:$H,7,0), "")</f>
        <v/>
      </c>
      <c r="H8" s="63"/>
      <c r="I8" s="63"/>
      <c r="J8" s="75"/>
      <c r="K8" s="56" t="str">
        <f>IFERROR( IF($K$2 &lt;&gt; "",INDEX(MICROPURCHASES!$B$4:$B$8,  SMALL( IF( MICROPURCHASES!$D$4:$G$8 = $K$2, ROW(MICROPURCHASES!$B$4:$B$8)-ROW(MICROPURCHASES!$B$4)+1 ),  ROWS(MICROPURCHASES!$B$4:'MICROPURCHASES'!B8)) ),""),"")</f>
        <v/>
      </c>
      <c r="L8" s="57" t="str">
        <f>IFERROR(VLOOKUP(K8,MICROPURCHASES!$B:$H,7,0), "")</f>
        <v/>
      </c>
      <c r="M8" s="63"/>
      <c r="N8" s="63"/>
      <c r="O8" s="75"/>
      <c r="P8" s="56" t="str">
        <f>IFERROR( IF($P$2 &lt;&gt; "",INDEX(MICROPURCHASES!$B$4:$B$8,  SMALL( IF( MICROPURCHASES!$D$4:$G$8 = $P$2, ROW(MICROPURCHASES!$B$4:$B$8)-ROW(MICROPURCHASES!$B$4)+1 ),  ROWS(MICROPURCHASES!$B$4:'MICROPURCHASES'!B8)) ),""),"")</f>
        <v/>
      </c>
      <c r="Q8" s="57" t="str">
        <f>IFERROR(VLOOKUP(P8,MICROPURCHASES!$B:$H,7,0), "")</f>
        <v/>
      </c>
      <c r="R8" s="63"/>
      <c r="S8" s="63"/>
      <c r="T8" s="75"/>
    </row>
    <row r="9" spans="1:25" x14ac:dyDescent="0.25">
      <c r="A9" s="67"/>
      <c r="B9" s="67"/>
      <c r="C9" s="67"/>
      <c r="D9" s="67"/>
      <c r="E9" s="67"/>
      <c r="F9" s="67"/>
      <c r="G9" s="67"/>
      <c r="H9" s="67"/>
      <c r="I9" s="67"/>
      <c r="J9" s="67"/>
      <c r="K9" s="67"/>
      <c r="L9" s="67"/>
      <c r="M9" s="67"/>
      <c r="N9" s="67"/>
      <c r="O9" s="67"/>
      <c r="P9" s="67"/>
      <c r="Q9" s="67"/>
      <c r="R9" s="67"/>
      <c r="S9" s="67"/>
      <c r="T9" s="67"/>
    </row>
    <row r="10" spans="1:25" x14ac:dyDescent="0.25">
      <c r="A10" s="67"/>
      <c r="B10" s="67"/>
      <c r="C10" s="67"/>
      <c r="D10" s="67"/>
      <c r="E10" s="67"/>
      <c r="F10" s="67"/>
      <c r="G10" s="67"/>
      <c r="H10" s="67"/>
      <c r="I10" s="67"/>
      <c r="J10" s="67"/>
      <c r="K10" s="67"/>
      <c r="L10" s="67"/>
      <c r="M10" s="67"/>
      <c r="N10" s="67"/>
      <c r="O10" s="67"/>
      <c r="P10" s="67"/>
      <c r="Q10" s="67"/>
      <c r="R10" s="67"/>
      <c r="S10" s="67"/>
      <c r="T10" s="67"/>
    </row>
    <row r="11" spans="1:25" x14ac:dyDescent="0.25">
      <c r="A11" s="67"/>
      <c r="B11" s="67"/>
      <c r="C11" s="67"/>
      <c r="D11" s="67"/>
      <c r="E11" s="67"/>
      <c r="F11" s="67"/>
      <c r="G11" s="67"/>
      <c r="H11" s="67"/>
      <c r="I11" s="67"/>
      <c r="J11" s="67"/>
      <c r="K11" s="67"/>
      <c r="L11" s="67"/>
      <c r="M11" s="67"/>
      <c r="N11" s="67"/>
      <c r="O11" s="67"/>
      <c r="P11" s="67"/>
      <c r="Q11" s="67"/>
      <c r="R11" s="67"/>
      <c r="S11" s="67"/>
      <c r="T11" s="67"/>
    </row>
    <row r="12" spans="1:25" x14ac:dyDescent="0.25">
      <c r="A12" s="68"/>
      <c r="B12" s="68"/>
      <c r="C12" s="68"/>
      <c r="D12" s="68"/>
      <c r="E12" s="68"/>
      <c r="F12" s="68"/>
      <c r="G12" s="68"/>
      <c r="H12" s="68"/>
      <c r="I12" s="68"/>
      <c r="J12" s="68"/>
      <c r="K12" s="68"/>
      <c r="L12" s="68"/>
      <c r="M12" s="68"/>
      <c r="N12" s="68"/>
      <c r="O12" s="68"/>
      <c r="P12" s="68"/>
      <c r="Q12" s="68"/>
      <c r="R12" s="68"/>
      <c r="S12" s="68"/>
      <c r="T12" s="68"/>
    </row>
    <row r="13" spans="1:25" x14ac:dyDescent="0.25">
      <c r="A13" s="68"/>
      <c r="B13" s="68"/>
      <c r="C13" s="68"/>
      <c r="D13" s="68"/>
      <c r="E13" s="68"/>
      <c r="F13" s="68"/>
      <c r="G13" s="68"/>
      <c r="H13" s="68"/>
      <c r="I13" s="68"/>
      <c r="J13" s="68"/>
      <c r="K13" s="68"/>
      <c r="L13" s="68"/>
      <c r="M13" s="68"/>
      <c r="N13" s="68"/>
      <c r="O13" s="68"/>
      <c r="P13" s="68"/>
      <c r="Q13" s="68"/>
      <c r="R13" s="68"/>
      <c r="S13" s="68"/>
      <c r="T13" s="68"/>
    </row>
    <row r="14" spans="1:25" x14ac:dyDescent="0.25">
      <c r="A14" s="68"/>
      <c r="B14" s="68"/>
      <c r="C14" s="68"/>
      <c r="D14" s="68"/>
      <c r="E14" s="68"/>
      <c r="F14" s="68"/>
      <c r="G14" s="68"/>
      <c r="H14" s="68"/>
      <c r="I14" s="68"/>
      <c r="J14" s="68"/>
      <c r="K14" s="68"/>
      <c r="L14" s="68"/>
      <c r="M14" s="68"/>
      <c r="N14" s="68"/>
      <c r="O14" s="68"/>
      <c r="P14" s="68"/>
      <c r="Q14" s="68"/>
      <c r="R14" s="68"/>
      <c r="S14" s="68"/>
      <c r="T14" s="68"/>
    </row>
    <row r="15" spans="1:25" x14ac:dyDescent="0.25">
      <c r="A15" s="68"/>
      <c r="B15" s="68"/>
      <c r="C15" s="68"/>
      <c r="D15" s="68"/>
      <c r="E15" s="68"/>
      <c r="F15" s="68"/>
      <c r="G15" s="68"/>
      <c r="H15" s="68"/>
      <c r="I15" s="68"/>
      <c r="J15" s="68"/>
      <c r="K15" s="68"/>
      <c r="L15" s="68"/>
      <c r="M15" s="68"/>
      <c r="N15" s="68"/>
      <c r="O15" s="68"/>
      <c r="P15" s="68"/>
      <c r="Q15" s="68"/>
      <c r="R15" s="68"/>
      <c r="S15" s="68"/>
      <c r="T15" s="68"/>
    </row>
    <row r="16" spans="1:25" x14ac:dyDescent="0.25">
      <c r="A16" s="68"/>
      <c r="B16" s="68"/>
      <c r="C16" s="68"/>
      <c r="D16" s="68"/>
      <c r="E16" s="68"/>
      <c r="F16" s="68"/>
      <c r="G16" s="68"/>
      <c r="H16" s="68"/>
      <c r="I16" s="68"/>
      <c r="J16" s="68"/>
      <c r="K16" s="68"/>
      <c r="L16" s="68"/>
      <c r="M16" s="68"/>
      <c r="N16" s="68"/>
      <c r="O16" s="68"/>
      <c r="P16" s="68"/>
      <c r="Q16" s="68"/>
      <c r="R16" s="68"/>
      <c r="S16" s="68"/>
      <c r="T16" s="68"/>
    </row>
    <row r="17" spans="1:20" x14ac:dyDescent="0.25">
      <c r="A17" s="68"/>
      <c r="B17" s="68"/>
      <c r="C17" s="68"/>
      <c r="D17" s="68"/>
      <c r="E17" s="68"/>
      <c r="F17" s="68"/>
      <c r="G17" s="68"/>
      <c r="H17" s="68"/>
      <c r="I17" s="68"/>
      <c r="J17" s="68"/>
      <c r="K17" s="68"/>
      <c r="L17" s="68"/>
      <c r="M17" s="68"/>
      <c r="N17" s="68"/>
      <c r="O17" s="68"/>
      <c r="P17" s="68"/>
      <c r="Q17" s="68"/>
      <c r="R17" s="68"/>
      <c r="S17" s="68"/>
      <c r="T17" s="68"/>
    </row>
    <row r="18" spans="1:20" x14ac:dyDescent="0.25">
      <c r="A18" s="68"/>
      <c r="B18" s="68"/>
      <c r="C18" s="68"/>
      <c r="D18" s="68"/>
      <c r="E18" s="68"/>
      <c r="F18" s="68"/>
      <c r="G18" s="68"/>
      <c r="H18" s="68"/>
      <c r="I18" s="68"/>
      <c r="J18" s="68"/>
      <c r="K18" s="68"/>
      <c r="L18" s="68"/>
      <c r="M18" s="68"/>
      <c r="N18" s="68"/>
      <c r="O18" s="68"/>
      <c r="P18" s="68"/>
      <c r="Q18" s="68"/>
      <c r="R18" s="68"/>
      <c r="S18" s="68"/>
      <c r="T18" s="68"/>
    </row>
    <row r="19" spans="1:20" x14ac:dyDescent="0.25">
      <c r="A19" s="68"/>
      <c r="B19" s="68"/>
      <c r="C19" s="68"/>
      <c r="D19" s="68"/>
      <c r="E19" s="68"/>
      <c r="F19" s="68"/>
      <c r="G19" s="68"/>
      <c r="H19" s="68"/>
      <c r="I19" s="68"/>
      <c r="J19" s="68"/>
      <c r="K19" s="68"/>
      <c r="L19" s="68"/>
      <c r="M19" s="68"/>
      <c r="N19" s="68"/>
      <c r="O19" s="68"/>
      <c r="P19" s="68"/>
      <c r="Q19" s="68"/>
      <c r="R19" s="68"/>
      <c r="S19" s="68"/>
      <c r="T19" s="68"/>
    </row>
    <row r="20" spans="1:20" x14ac:dyDescent="0.25">
      <c r="A20" s="68"/>
      <c r="B20" s="68"/>
      <c r="C20" s="68"/>
      <c r="D20" s="68"/>
      <c r="E20" s="68"/>
      <c r="F20" s="68"/>
      <c r="G20" s="68"/>
      <c r="H20" s="68"/>
      <c r="I20" s="68"/>
      <c r="J20" s="68"/>
      <c r="K20" s="68"/>
      <c r="L20" s="68"/>
      <c r="M20" s="68"/>
      <c r="N20" s="68"/>
      <c r="O20" s="68"/>
      <c r="P20" s="68"/>
      <c r="Q20" s="68"/>
      <c r="R20" s="68"/>
      <c r="S20" s="68"/>
      <c r="T20" s="68"/>
    </row>
    <row r="21" spans="1:20" x14ac:dyDescent="0.25">
      <c r="A21" s="68"/>
      <c r="B21" s="68"/>
      <c r="C21" s="68"/>
      <c r="D21" s="68"/>
      <c r="E21" s="68"/>
      <c r="F21" s="68"/>
      <c r="G21" s="68"/>
      <c r="H21" s="68"/>
      <c r="I21" s="68"/>
      <c r="J21" s="68"/>
      <c r="K21" s="68"/>
      <c r="L21" s="68"/>
      <c r="M21" s="68"/>
      <c r="N21" s="68"/>
      <c r="O21" s="68"/>
      <c r="P21" s="68"/>
      <c r="Q21" s="68"/>
      <c r="R21" s="68"/>
      <c r="S21" s="68"/>
      <c r="T21" s="68"/>
    </row>
    <row r="22" spans="1:20" x14ac:dyDescent="0.25">
      <c r="A22" s="68"/>
      <c r="B22" s="68"/>
      <c r="C22" s="68"/>
      <c r="D22" s="68"/>
      <c r="E22" s="68"/>
      <c r="F22" s="68"/>
      <c r="G22" s="68"/>
      <c r="H22" s="68"/>
      <c r="I22" s="68"/>
      <c r="J22" s="68"/>
      <c r="K22" s="68"/>
      <c r="L22" s="68"/>
      <c r="M22" s="68"/>
      <c r="N22" s="68"/>
      <c r="O22" s="68"/>
      <c r="P22" s="68"/>
      <c r="Q22" s="68"/>
      <c r="R22" s="68"/>
      <c r="S22" s="68"/>
      <c r="T22" s="68"/>
    </row>
    <row r="23" spans="1:20" x14ac:dyDescent="0.25">
      <c r="A23" s="68"/>
      <c r="B23" s="68"/>
      <c r="C23" s="68"/>
      <c r="D23" s="68"/>
      <c r="E23" s="68"/>
      <c r="F23" s="68"/>
      <c r="G23" s="68"/>
      <c r="H23" s="68"/>
      <c r="I23" s="68"/>
      <c r="J23" s="68"/>
      <c r="K23" s="68"/>
      <c r="L23" s="68"/>
      <c r="M23" s="68"/>
      <c r="N23" s="68"/>
      <c r="O23" s="68"/>
      <c r="P23" s="68"/>
      <c r="Q23" s="68"/>
      <c r="R23" s="68"/>
      <c r="S23" s="68"/>
      <c r="T23" s="68"/>
    </row>
    <row r="24" spans="1:20" x14ac:dyDescent="0.25">
      <c r="A24" s="68"/>
      <c r="B24" s="68"/>
      <c r="C24" s="68"/>
      <c r="D24" s="68"/>
      <c r="E24" s="68"/>
      <c r="F24" s="68"/>
      <c r="G24" s="68"/>
      <c r="H24" s="68"/>
      <c r="I24" s="68"/>
      <c r="J24" s="68"/>
      <c r="K24" s="68"/>
      <c r="L24" s="68"/>
      <c r="M24" s="68"/>
      <c r="N24" s="68"/>
      <c r="O24" s="68"/>
      <c r="P24" s="68"/>
      <c r="Q24" s="68"/>
      <c r="R24" s="68"/>
      <c r="S24" s="68"/>
      <c r="T24" s="68"/>
    </row>
    <row r="25" spans="1:20" x14ac:dyDescent="0.25">
      <c r="A25" s="68"/>
      <c r="B25" s="68"/>
      <c r="C25" s="68"/>
      <c r="D25" s="68"/>
      <c r="E25" s="68"/>
      <c r="F25" s="68"/>
      <c r="G25" s="68"/>
      <c r="H25" s="68"/>
      <c r="I25" s="68"/>
      <c r="J25" s="68"/>
      <c r="K25" s="68"/>
      <c r="L25" s="68"/>
      <c r="M25" s="68"/>
      <c r="N25" s="68"/>
      <c r="O25" s="68"/>
      <c r="P25" s="68"/>
      <c r="Q25" s="68"/>
      <c r="R25" s="68"/>
      <c r="S25" s="68"/>
      <c r="T25" s="68"/>
    </row>
    <row r="26" spans="1:20" x14ac:dyDescent="0.25">
      <c r="A26" s="68"/>
      <c r="B26" s="68"/>
      <c r="C26" s="68"/>
      <c r="D26" s="68"/>
      <c r="E26" s="68"/>
      <c r="F26" s="68"/>
      <c r="G26" s="68"/>
      <c r="H26" s="68"/>
      <c r="I26" s="68"/>
      <c r="J26" s="68"/>
      <c r="K26" s="68"/>
      <c r="L26" s="68"/>
      <c r="M26" s="68"/>
      <c r="N26" s="68"/>
      <c r="O26" s="68"/>
      <c r="P26" s="68"/>
      <c r="Q26" s="68"/>
      <c r="R26" s="68"/>
      <c r="S26" s="68"/>
      <c r="T26" s="68"/>
    </row>
    <row r="27" spans="1:20" x14ac:dyDescent="0.25">
      <c r="A27" s="68"/>
      <c r="B27" s="68"/>
      <c r="C27" s="68"/>
      <c r="D27" s="68"/>
      <c r="E27" s="68"/>
      <c r="F27" s="68"/>
      <c r="G27" s="68"/>
      <c r="H27" s="68"/>
      <c r="I27" s="68"/>
      <c r="J27" s="68"/>
      <c r="K27" s="68"/>
      <c r="L27" s="68"/>
      <c r="M27" s="68"/>
      <c r="N27" s="68"/>
      <c r="O27" s="68"/>
      <c r="P27" s="68"/>
      <c r="Q27" s="68"/>
      <c r="R27" s="68"/>
      <c r="S27" s="68"/>
      <c r="T27" s="68"/>
    </row>
    <row r="28" spans="1:20" x14ac:dyDescent="0.25">
      <c r="A28" s="68"/>
      <c r="B28" s="68"/>
      <c r="C28" s="68"/>
      <c r="D28" s="68"/>
      <c r="E28" s="68"/>
      <c r="F28" s="68"/>
      <c r="G28" s="68"/>
      <c r="H28" s="68"/>
      <c r="I28" s="68"/>
      <c r="J28" s="68"/>
      <c r="K28" s="68"/>
      <c r="L28" s="68"/>
      <c r="M28" s="68"/>
      <c r="N28" s="68"/>
      <c r="O28" s="68"/>
      <c r="P28" s="68"/>
      <c r="Q28" s="68"/>
      <c r="R28" s="68"/>
      <c r="S28" s="68"/>
      <c r="T28" s="68"/>
    </row>
    <row r="29" spans="1:20" x14ac:dyDescent="0.25">
      <c r="A29" s="68"/>
      <c r="B29" s="68"/>
      <c r="C29" s="68"/>
      <c r="D29" s="68"/>
      <c r="E29" s="68"/>
      <c r="F29" s="68"/>
      <c r="G29" s="68"/>
      <c r="H29" s="68"/>
      <c r="I29" s="68"/>
      <c r="J29" s="68"/>
      <c r="K29" s="68"/>
      <c r="L29" s="68"/>
      <c r="M29" s="68"/>
      <c r="N29" s="68"/>
      <c r="O29" s="68"/>
      <c r="P29" s="68"/>
      <c r="Q29" s="68"/>
      <c r="R29" s="68"/>
      <c r="S29" s="68"/>
      <c r="T29" s="68"/>
    </row>
    <row r="30" spans="1:20" x14ac:dyDescent="0.25">
      <c r="A30" s="68"/>
      <c r="B30" s="68"/>
      <c r="C30" s="68"/>
      <c r="D30" s="68"/>
      <c r="E30" s="68"/>
      <c r="F30" s="68"/>
      <c r="G30" s="68"/>
      <c r="H30" s="68"/>
      <c r="I30" s="68"/>
      <c r="J30" s="68"/>
      <c r="K30" s="68"/>
      <c r="L30" s="68"/>
      <c r="M30" s="68"/>
      <c r="N30" s="68"/>
      <c r="O30" s="68"/>
      <c r="P30" s="68"/>
      <c r="Q30" s="68"/>
      <c r="R30" s="68"/>
      <c r="S30" s="68"/>
      <c r="T30" s="68"/>
    </row>
    <row r="31" spans="1:20" x14ac:dyDescent="0.25">
      <c r="A31" s="68"/>
      <c r="B31" s="68"/>
      <c r="C31" s="68"/>
      <c r="D31" s="68"/>
      <c r="E31" s="68"/>
      <c r="F31" s="68"/>
      <c r="G31" s="68"/>
      <c r="H31" s="68"/>
      <c r="I31" s="68"/>
      <c r="J31" s="68"/>
      <c r="K31" s="68"/>
      <c r="L31" s="68"/>
      <c r="M31" s="68"/>
      <c r="N31" s="68"/>
      <c r="O31" s="68"/>
      <c r="P31" s="68"/>
      <c r="Q31" s="68"/>
      <c r="R31" s="68"/>
      <c r="S31" s="68"/>
      <c r="T31" s="68"/>
    </row>
    <row r="32" spans="1:20" x14ac:dyDescent="0.25">
      <c r="A32" s="68"/>
      <c r="B32" s="68"/>
      <c r="C32" s="68"/>
      <c r="D32" s="68"/>
      <c r="E32" s="68"/>
      <c r="F32" s="68"/>
      <c r="G32" s="68"/>
      <c r="H32" s="68"/>
      <c r="I32" s="68"/>
      <c r="J32" s="68"/>
      <c r="K32" s="68"/>
      <c r="L32" s="68"/>
      <c r="M32" s="68"/>
      <c r="N32" s="68"/>
      <c r="O32" s="68"/>
      <c r="P32" s="68"/>
      <c r="Q32" s="68"/>
      <c r="R32" s="68"/>
      <c r="S32" s="68"/>
      <c r="T32" s="68"/>
    </row>
    <row r="33" spans="1:20" x14ac:dyDescent="0.25">
      <c r="A33" s="68"/>
      <c r="B33" s="68"/>
      <c r="C33" s="68"/>
      <c r="D33" s="68"/>
      <c r="E33" s="68"/>
      <c r="F33" s="68"/>
      <c r="G33" s="68"/>
      <c r="H33" s="68"/>
      <c r="I33" s="68"/>
      <c r="J33" s="68"/>
      <c r="K33" s="68"/>
      <c r="L33" s="68"/>
      <c r="M33" s="68"/>
      <c r="N33" s="68"/>
      <c r="O33" s="68"/>
      <c r="P33" s="68"/>
      <c r="Q33" s="68"/>
      <c r="R33" s="68"/>
      <c r="S33" s="68"/>
      <c r="T33" s="68"/>
    </row>
    <row r="34" spans="1:20" x14ac:dyDescent="0.25">
      <c r="A34" s="68"/>
      <c r="B34" s="68"/>
      <c r="C34" s="68"/>
      <c r="D34" s="68"/>
      <c r="E34" s="68"/>
      <c r="F34" s="68"/>
      <c r="G34" s="68"/>
      <c r="H34" s="68"/>
      <c r="I34" s="68"/>
      <c r="J34" s="68"/>
      <c r="K34" s="68"/>
      <c r="L34" s="68"/>
      <c r="M34" s="68"/>
      <c r="N34" s="68"/>
      <c r="O34" s="68"/>
      <c r="P34" s="68"/>
      <c r="Q34" s="68"/>
      <c r="R34" s="68"/>
      <c r="S34" s="68"/>
      <c r="T34" s="68"/>
    </row>
    <row r="35" spans="1:20" x14ac:dyDescent="0.25">
      <c r="A35" s="68"/>
      <c r="B35" s="68"/>
      <c r="C35" s="68"/>
      <c r="D35" s="68"/>
      <c r="E35" s="68"/>
      <c r="F35" s="68"/>
      <c r="G35" s="68"/>
      <c r="H35" s="68"/>
      <c r="I35" s="68"/>
      <c r="J35" s="68"/>
      <c r="K35" s="68"/>
      <c r="L35" s="68"/>
      <c r="M35" s="68"/>
      <c r="N35" s="68"/>
      <c r="O35" s="68"/>
      <c r="P35" s="68"/>
      <c r="Q35" s="68"/>
      <c r="R35" s="68"/>
      <c r="S35" s="68"/>
      <c r="T35" s="68"/>
    </row>
    <row r="36" spans="1:20" x14ac:dyDescent="0.25">
      <c r="A36" s="68"/>
      <c r="B36" s="68"/>
      <c r="C36" s="68"/>
      <c r="D36" s="68"/>
      <c r="E36" s="68"/>
      <c r="F36" s="68"/>
      <c r="G36" s="68"/>
      <c r="H36" s="68"/>
      <c r="I36" s="68"/>
      <c r="J36" s="68"/>
      <c r="K36" s="68"/>
      <c r="L36" s="68"/>
      <c r="M36" s="68"/>
      <c r="N36" s="68"/>
      <c r="O36" s="68"/>
      <c r="P36" s="68"/>
      <c r="Q36" s="68"/>
      <c r="R36" s="68"/>
      <c r="S36" s="68"/>
      <c r="T36" s="68"/>
    </row>
    <row r="37" spans="1:20" x14ac:dyDescent="0.25">
      <c r="A37" s="68"/>
      <c r="B37" s="68"/>
      <c r="C37" s="68"/>
      <c r="D37" s="68"/>
      <c r="E37" s="68"/>
      <c r="F37" s="68"/>
      <c r="G37" s="68"/>
      <c r="H37" s="68"/>
      <c r="I37" s="68"/>
      <c r="J37" s="68"/>
      <c r="K37" s="68"/>
      <c r="L37" s="68"/>
      <c r="M37" s="68"/>
      <c r="N37" s="68"/>
      <c r="O37" s="68"/>
      <c r="P37" s="68"/>
      <c r="Q37" s="68"/>
      <c r="R37" s="68"/>
      <c r="S37" s="68"/>
      <c r="T37" s="68"/>
    </row>
    <row r="38" spans="1:20" x14ac:dyDescent="0.25">
      <c r="A38" s="68"/>
      <c r="B38" s="68"/>
      <c r="C38" s="68"/>
      <c r="D38" s="68"/>
      <c r="E38" s="68"/>
      <c r="F38" s="68"/>
      <c r="G38" s="68"/>
      <c r="H38" s="68"/>
      <c r="I38" s="68"/>
      <c r="J38" s="68"/>
      <c r="K38" s="68"/>
      <c r="L38" s="68"/>
      <c r="M38" s="68"/>
      <c r="N38" s="68"/>
      <c r="O38" s="68"/>
      <c r="P38" s="68"/>
      <c r="Q38" s="68"/>
      <c r="R38" s="68"/>
      <c r="S38" s="68"/>
      <c r="T38" s="68"/>
    </row>
    <row r="39" spans="1:20" x14ac:dyDescent="0.25">
      <c r="A39" s="68"/>
      <c r="B39" s="68"/>
      <c r="C39" s="68"/>
      <c r="D39" s="68"/>
      <c r="E39" s="68"/>
      <c r="F39" s="68"/>
      <c r="G39" s="68"/>
      <c r="H39" s="68"/>
      <c r="I39" s="68"/>
      <c r="J39" s="68"/>
      <c r="K39" s="68"/>
      <c r="L39" s="68"/>
      <c r="M39" s="68"/>
      <c r="N39" s="68"/>
      <c r="O39" s="68"/>
      <c r="P39" s="68"/>
      <c r="Q39" s="68"/>
      <c r="R39" s="68"/>
      <c r="S39" s="68"/>
      <c r="T39" s="68"/>
    </row>
    <row r="40" spans="1:20" x14ac:dyDescent="0.25">
      <c r="A40" s="68"/>
      <c r="B40" s="68"/>
      <c r="C40" s="68"/>
      <c r="D40" s="68"/>
      <c r="E40" s="68"/>
      <c r="F40" s="68"/>
      <c r="G40" s="68"/>
      <c r="H40" s="68"/>
      <c r="I40" s="68"/>
      <c r="J40" s="68"/>
      <c r="K40" s="68"/>
      <c r="L40" s="68"/>
      <c r="M40" s="68"/>
      <c r="N40" s="68"/>
      <c r="O40" s="68"/>
      <c r="P40" s="68"/>
      <c r="Q40" s="68"/>
      <c r="R40" s="68"/>
      <c r="S40" s="68"/>
      <c r="T40" s="68"/>
    </row>
    <row r="41" spans="1:20" x14ac:dyDescent="0.25">
      <c r="A41" s="68"/>
      <c r="B41" s="68"/>
      <c r="C41" s="68"/>
      <c r="D41" s="68"/>
      <c r="E41" s="68"/>
      <c r="F41" s="68"/>
      <c r="G41" s="68"/>
      <c r="H41" s="68"/>
      <c r="I41" s="68"/>
      <c r="J41" s="68"/>
      <c r="K41" s="68"/>
      <c r="L41" s="68"/>
      <c r="M41" s="68"/>
      <c r="N41" s="68"/>
      <c r="O41" s="68"/>
      <c r="P41" s="68"/>
      <c r="Q41" s="68"/>
      <c r="R41" s="68"/>
      <c r="S41" s="68"/>
      <c r="T41" s="68"/>
    </row>
    <row r="42" spans="1:20" x14ac:dyDescent="0.25">
      <c r="A42" s="68"/>
      <c r="B42" s="68"/>
      <c r="C42" s="68"/>
      <c r="D42" s="68"/>
      <c r="E42" s="68"/>
      <c r="F42" s="68"/>
      <c r="G42" s="68"/>
      <c r="H42" s="68"/>
      <c r="I42" s="68"/>
      <c r="J42" s="68"/>
      <c r="K42" s="68"/>
      <c r="L42" s="68"/>
      <c r="M42" s="68"/>
      <c r="N42" s="68"/>
      <c r="O42" s="68"/>
      <c r="P42" s="68"/>
      <c r="Q42" s="68"/>
      <c r="R42" s="68"/>
      <c r="S42" s="68"/>
      <c r="T42" s="68"/>
    </row>
    <row r="43" spans="1:20" x14ac:dyDescent="0.25">
      <c r="A43" s="68"/>
      <c r="B43" s="68"/>
      <c r="C43" s="68"/>
      <c r="D43" s="68"/>
      <c r="E43" s="68"/>
      <c r="F43" s="68"/>
      <c r="G43" s="68"/>
      <c r="H43" s="68"/>
      <c r="I43" s="68"/>
      <c r="J43" s="68"/>
      <c r="K43" s="68"/>
      <c r="L43" s="68"/>
      <c r="M43" s="68"/>
      <c r="N43" s="68"/>
      <c r="O43" s="68"/>
      <c r="P43" s="68"/>
      <c r="Q43" s="68"/>
      <c r="R43" s="68"/>
      <c r="S43" s="68"/>
      <c r="T43" s="68"/>
    </row>
    <row r="44" spans="1:20" x14ac:dyDescent="0.25">
      <c r="A44" s="68"/>
      <c r="B44" s="68"/>
      <c r="C44" s="68"/>
      <c r="D44" s="68"/>
      <c r="E44" s="68"/>
      <c r="F44" s="68"/>
      <c r="G44" s="68"/>
      <c r="H44" s="68"/>
      <c r="I44" s="68"/>
      <c r="J44" s="68"/>
      <c r="K44" s="68"/>
      <c r="L44" s="68"/>
      <c r="M44" s="68"/>
      <c r="N44" s="68"/>
      <c r="O44" s="68"/>
      <c r="P44" s="68"/>
      <c r="Q44" s="68"/>
      <c r="R44" s="68"/>
      <c r="S44" s="68"/>
      <c r="T44" s="68"/>
    </row>
    <row r="45" spans="1:20" x14ac:dyDescent="0.25">
      <c r="A45" s="68"/>
      <c r="B45" s="68"/>
      <c r="C45" s="68"/>
      <c r="D45" s="68"/>
      <c r="E45" s="68"/>
      <c r="F45" s="68"/>
      <c r="G45" s="68"/>
      <c r="H45" s="68"/>
      <c r="I45" s="68"/>
      <c r="J45" s="68"/>
      <c r="K45" s="68"/>
      <c r="L45" s="68"/>
      <c r="M45" s="68"/>
      <c r="N45" s="68"/>
      <c r="O45" s="68"/>
      <c r="P45" s="68"/>
      <c r="Q45" s="68"/>
      <c r="R45" s="68"/>
      <c r="S45" s="68"/>
      <c r="T45" s="68"/>
    </row>
    <row r="46" spans="1:20" x14ac:dyDescent="0.25">
      <c r="A46" s="68"/>
      <c r="B46" s="68"/>
      <c r="C46" s="68"/>
      <c r="D46" s="68"/>
      <c r="E46" s="68"/>
      <c r="F46" s="68"/>
      <c r="G46" s="68"/>
      <c r="H46" s="68"/>
      <c r="I46" s="68"/>
      <c r="J46" s="68"/>
      <c r="K46" s="68"/>
      <c r="L46" s="68"/>
      <c r="M46" s="68"/>
      <c r="N46" s="68"/>
      <c r="O46" s="68"/>
      <c r="P46" s="68"/>
      <c r="Q46" s="68"/>
      <c r="R46" s="68"/>
      <c r="S46" s="68"/>
      <c r="T46" s="68"/>
    </row>
    <row r="47" spans="1:20" x14ac:dyDescent="0.25">
      <c r="A47" s="68"/>
      <c r="B47" s="68"/>
      <c r="C47" s="68"/>
      <c r="D47" s="68"/>
      <c r="E47" s="68"/>
      <c r="F47" s="68"/>
      <c r="G47" s="68"/>
      <c r="H47" s="68"/>
      <c r="I47" s="68"/>
      <c r="J47" s="68"/>
      <c r="K47" s="68"/>
      <c r="L47" s="68"/>
      <c r="M47" s="68"/>
      <c r="N47" s="68"/>
      <c r="O47" s="68"/>
      <c r="P47" s="68"/>
      <c r="Q47" s="68"/>
      <c r="R47" s="68"/>
      <c r="S47" s="68"/>
      <c r="T47" s="68"/>
    </row>
    <row r="48" spans="1:20" x14ac:dyDescent="0.25">
      <c r="A48" s="68"/>
      <c r="B48" s="68"/>
      <c r="C48" s="68"/>
      <c r="D48" s="68"/>
      <c r="E48" s="68"/>
      <c r="F48" s="68"/>
      <c r="G48" s="68"/>
      <c r="H48" s="68"/>
      <c r="I48" s="68"/>
      <c r="J48" s="68"/>
      <c r="K48" s="68"/>
      <c r="L48" s="68"/>
      <c r="M48" s="68"/>
      <c r="N48" s="68"/>
      <c r="O48" s="68"/>
      <c r="P48" s="68"/>
      <c r="Q48" s="68"/>
      <c r="R48" s="68"/>
      <c r="S48" s="68"/>
      <c r="T48" s="68"/>
    </row>
    <row r="49" spans="1:20" x14ac:dyDescent="0.25">
      <c r="A49" s="68"/>
      <c r="B49" s="68"/>
      <c r="C49" s="68"/>
      <c r="D49" s="68"/>
      <c r="E49" s="68"/>
      <c r="F49" s="68"/>
      <c r="G49" s="68"/>
      <c r="H49" s="68"/>
      <c r="I49" s="68"/>
      <c r="J49" s="68"/>
      <c r="K49" s="68"/>
      <c r="L49" s="68"/>
      <c r="M49" s="68"/>
      <c r="N49" s="68"/>
      <c r="O49" s="68"/>
      <c r="P49" s="68"/>
      <c r="Q49" s="68"/>
      <c r="R49" s="68"/>
      <c r="S49" s="68"/>
      <c r="T49" s="68"/>
    </row>
    <row r="50" spans="1:20" x14ac:dyDescent="0.25">
      <c r="A50" s="68"/>
      <c r="B50" s="68"/>
      <c r="C50" s="68"/>
      <c r="D50" s="68"/>
      <c r="E50" s="68"/>
      <c r="F50" s="68"/>
      <c r="G50" s="68"/>
      <c r="H50" s="68"/>
      <c r="I50" s="68"/>
      <c r="J50" s="68"/>
      <c r="K50" s="68"/>
      <c r="L50" s="68"/>
      <c r="M50" s="68"/>
      <c r="N50" s="68"/>
      <c r="O50" s="68"/>
      <c r="P50" s="68"/>
      <c r="Q50" s="68"/>
      <c r="R50" s="68"/>
      <c r="S50" s="68"/>
      <c r="T50" s="68"/>
    </row>
    <row r="51" spans="1:20" x14ac:dyDescent="0.25">
      <c r="A51" s="68"/>
      <c r="B51" s="68"/>
      <c r="C51" s="68"/>
      <c r="D51" s="68"/>
      <c r="E51" s="68"/>
      <c r="F51" s="68"/>
      <c r="G51" s="68"/>
      <c r="H51" s="68"/>
      <c r="I51" s="68"/>
      <c r="J51" s="68"/>
      <c r="K51" s="68"/>
      <c r="L51" s="68"/>
      <c r="M51" s="68"/>
      <c r="N51" s="68"/>
      <c r="O51" s="68"/>
      <c r="P51" s="68"/>
      <c r="Q51" s="68"/>
      <c r="R51" s="68"/>
      <c r="S51" s="68"/>
      <c r="T51" s="68"/>
    </row>
    <row r="52" spans="1:20" x14ac:dyDescent="0.25">
      <c r="A52" s="68"/>
      <c r="B52" s="68"/>
      <c r="C52" s="68"/>
      <c r="D52" s="68"/>
      <c r="E52" s="68"/>
      <c r="F52" s="68"/>
      <c r="G52" s="68"/>
      <c r="H52" s="68"/>
      <c r="I52" s="68"/>
      <c r="J52" s="68"/>
      <c r="K52" s="68"/>
      <c r="L52" s="68"/>
      <c r="M52" s="68"/>
      <c r="N52" s="68"/>
      <c r="O52" s="68"/>
      <c r="P52" s="68"/>
      <c r="Q52" s="68"/>
      <c r="R52" s="68"/>
      <c r="S52" s="68"/>
      <c r="T52" s="68"/>
    </row>
    <row r="53" spans="1:20" x14ac:dyDescent="0.25">
      <c r="A53" s="68"/>
      <c r="B53" s="68"/>
      <c r="C53" s="68"/>
      <c r="D53" s="68"/>
      <c r="E53" s="68"/>
      <c r="F53" s="68"/>
      <c r="G53" s="68"/>
      <c r="H53" s="68"/>
      <c r="I53" s="68"/>
      <c r="J53" s="68"/>
      <c r="K53" s="68"/>
      <c r="L53" s="68"/>
      <c r="M53" s="68"/>
      <c r="N53" s="68"/>
      <c r="O53" s="68"/>
      <c r="P53" s="68"/>
      <c r="Q53" s="68"/>
      <c r="R53" s="68"/>
      <c r="S53" s="68"/>
      <c r="T53" s="68"/>
    </row>
    <row r="54" spans="1:20" x14ac:dyDescent="0.25">
      <c r="A54" s="68"/>
      <c r="B54" s="68"/>
      <c r="C54" s="68"/>
      <c r="D54" s="68"/>
      <c r="E54" s="68"/>
      <c r="F54" s="68"/>
      <c r="G54" s="68"/>
      <c r="H54" s="68"/>
      <c r="I54" s="68"/>
      <c r="J54" s="68"/>
      <c r="K54" s="68"/>
      <c r="L54" s="68"/>
      <c r="M54" s="68"/>
      <c r="N54" s="68"/>
      <c r="O54" s="68"/>
      <c r="P54" s="68"/>
      <c r="Q54" s="68"/>
      <c r="R54" s="68"/>
      <c r="S54" s="68"/>
      <c r="T54" s="68"/>
    </row>
    <row r="55" spans="1:20" x14ac:dyDescent="0.25">
      <c r="A55" s="68"/>
      <c r="B55" s="68"/>
      <c r="C55" s="68"/>
      <c r="D55" s="68"/>
      <c r="E55" s="68"/>
      <c r="F55" s="68"/>
      <c r="G55" s="68"/>
      <c r="H55" s="68"/>
      <c r="I55" s="68"/>
      <c r="J55" s="68"/>
      <c r="K55" s="68"/>
      <c r="L55" s="68"/>
      <c r="M55" s="68"/>
      <c r="N55" s="68"/>
      <c r="O55" s="68"/>
      <c r="P55" s="68"/>
      <c r="Q55" s="68"/>
      <c r="R55" s="68"/>
      <c r="S55" s="68"/>
      <c r="T55" s="68"/>
    </row>
    <row r="56" spans="1:20" x14ac:dyDescent="0.25">
      <c r="A56" s="68"/>
      <c r="B56" s="68"/>
      <c r="C56" s="68"/>
      <c r="D56" s="68"/>
      <c r="E56" s="68"/>
      <c r="F56" s="68"/>
      <c r="G56" s="68"/>
      <c r="H56" s="68"/>
      <c r="I56" s="68"/>
      <c r="J56" s="68"/>
      <c r="K56" s="68"/>
      <c r="L56" s="68"/>
      <c r="M56" s="68"/>
      <c r="N56" s="68"/>
      <c r="O56" s="68"/>
      <c r="P56" s="68"/>
      <c r="Q56" s="68"/>
      <c r="R56" s="68"/>
      <c r="S56" s="68"/>
      <c r="T56" s="68"/>
    </row>
    <row r="57" spans="1:20" x14ac:dyDescent="0.25">
      <c r="A57" s="68"/>
      <c r="B57" s="68"/>
      <c r="C57" s="68"/>
      <c r="D57" s="68"/>
      <c r="E57" s="68"/>
      <c r="F57" s="68"/>
      <c r="G57" s="68"/>
      <c r="H57" s="68"/>
      <c r="I57" s="68"/>
      <c r="J57" s="68"/>
      <c r="K57" s="68"/>
      <c r="L57" s="68"/>
      <c r="M57" s="68"/>
      <c r="N57" s="68"/>
      <c r="O57" s="68"/>
      <c r="P57" s="68"/>
      <c r="Q57" s="68"/>
      <c r="R57" s="68"/>
      <c r="S57" s="68"/>
      <c r="T57" s="68"/>
    </row>
  </sheetData>
  <mergeCells count="5">
    <mergeCell ref="A1:T1"/>
    <mergeCell ref="A2:D2"/>
    <mergeCell ref="F2:I2"/>
    <mergeCell ref="K2:N2"/>
    <mergeCell ref="P2:S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tabColor rgb="FFFF0000"/>
  </sheetPr>
  <dimension ref="A1:AE19"/>
  <sheetViews>
    <sheetView zoomScale="40" zoomScaleNormal="40" workbookViewId="0">
      <selection activeCell="A6" sqref="A6"/>
    </sheetView>
  </sheetViews>
  <sheetFormatPr defaultColWidth="64.5703125" defaultRowHeight="50.25" customHeight="1" x14ac:dyDescent="0.25"/>
  <cols>
    <col min="1" max="1" width="69.42578125" style="68" customWidth="1"/>
    <col min="2" max="4" width="52" style="68" customWidth="1"/>
    <col min="5" max="5" width="14.5703125" style="68" customWidth="1"/>
    <col min="6" max="6" width="69.42578125" style="68" customWidth="1"/>
    <col min="7" max="9" width="52" style="68" customWidth="1"/>
    <col min="10" max="10" width="14.5703125" style="68" customWidth="1"/>
    <col min="11" max="11" width="69.42578125" style="68" customWidth="1"/>
    <col min="12" max="14" width="52" style="68" customWidth="1"/>
    <col min="15" max="15" width="14.5703125" style="68" customWidth="1"/>
    <col min="16" max="16" width="69.42578125" style="68" customWidth="1"/>
    <col min="17" max="19" width="52" style="68" customWidth="1"/>
    <col min="20" max="20" width="14.5703125" style="68" customWidth="1"/>
    <col min="21" max="21" width="69.42578125" style="68" customWidth="1"/>
    <col min="22" max="24" width="52" style="68" customWidth="1"/>
    <col min="25" max="31" width="64.5703125" style="68"/>
    <col min="32" max="16384" width="64.5703125" style="69"/>
  </cols>
  <sheetData>
    <row r="1" spans="1:31" ht="71.25" customHeight="1" x14ac:dyDescent="0.25">
      <c r="A1" s="766" t="str">
        <f>'SFA PROCUREMENT TABLE'!$A$1:$D$1&amp;" - "&amp;"Small Purchase Findings"</f>
        <v xml:space="preserve"> - Small Purchase Findings</v>
      </c>
      <c r="B1" s="767"/>
      <c r="C1" s="767"/>
      <c r="D1" s="767"/>
      <c r="E1" s="767"/>
      <c r="F1" s="767"/>
      <c r="G1" s="767"/>
      <c r="H1" s="767"/>
      <c r="I1" s="767"/>
      <c r="J1" s="767"/>
      <c r="K1" s="767"/>
      <c r="L1" s="767"/>
      <c r="M1" s="767"/>
      <c r="N1" s="767"/>
      <c r="O1" s="767"/>
      <c r="P1" s="767"/>
      <c r="Q1" s="767"/>
      <c r="R1" s="767"/>
      <c r="S1" s="767"/>
      <c r="T1" s="767"/>
      <c r="U1" s="767"/>
      <c r="V1" s="767"/>
      <c r="W1" s="767"/>
      <c r="X1" s="767"/>
      <c r="Y1" s="767"/>
    </row>
    <row r="2" spans="1:31" s="78" customFormat="1" ht="50.25" customHeight="1" x14ac:dyDescent="0.25">
      <c r="A2" s="771">
        <f t="array" ref="A2">IFERROR( INDEX('SFA PROCUREMENT TABLE'!$A$52:$A$69,  SMALL( IF('SFA PROCUREMENT TABLE'!$H$52:$H$69 = "Select for Review", ROW('SFA PROCUREMENT TABLE'!$A$52:$A$69)-ROW('SFA PROCUREMENT TABLE'!$A$52)+1 ),  ROWS('SFA PROCUREMENT TABLE'!$A$52:'SFA PROCUREMENT TABLE'!$A$52)) ),"")</f>
        <v>0</v>
      </c>
      <c r="B2" s="772"/>
      <c r="C2" s="772"/>
      <c r="D2" s="773"/>
      <c r="E2" s="76"/>
      <c r="F2" s="771" t="str">
        <f t="array" ref="F2">IFERROR( INDEX('SFA PROCUREMENT TABLE'!$A$52:$A$69,  SMALL( IF('SFA PROCUREMENT TABLE'!$H$52:$H$69 = "Select for Review", ROW('SFA PROCUREMENT TABLE'!$A$52:$A$69)-ROW('SFA PROCUREMENT TABLE'!$A$52)+1 ),  ROWS('SFA PROCUREMENT TABLE'!$A$52:'SFA PROCUREMENT TABLE'!A53)) ),"")</f>
        <v/>
      </c>
      <c r="G2" s="772"/>
      <c r="H2" s="772"/>
      <c r="I2" s="773"/>
      <c r="J2" s="76"/>
      <c r="K2" s="771" t="str">
        <f t="array" ref="K2">IFERROR( INDEX('SFA PROCUREMENT TABLE'!$A$52:$A$69,  SMALL( IF('SFA PROCUREMENT TABLE'!$H$52:$H$69 = "Select for Review", ROW('SFA PROCUREMENT TABLE'!$A$52:$A$69)-ROW('SFA PROCUREMENT TABLE'!$A$52)+1 ),  ROWS('SFA PROCUREMENT TABLE'!$A$52:'SFA PROCUREMENT TABLE'!$A54)) ),"")</f>
        <v/>
      </c>
      <c r="L2" s="772"/>
      <c r="M2" s="772"/>
      <c r="N2" s="773"/>
      <c r="O2" s="76"/>
      <c r="P2" s="771" t="str">
        <f t="array" ref="P2">IFERROR( INDEX('SFA PROCUREMENT TABLE'!$A$52:$A$69,  SMALL( IF('SFA PROCUREMENT TABLE'!$H$52:$H$69 = "Select for Review", ROW('SFA PROCUREMENT TABLE'!$A$52:$A$69)-ROW('SFA PROCUREMENT TABLE'!$A$52)+1 ),  ROWS('SFA PROCUREMENT TABLE'!$A$52:'SFA PROCUREMENT TABLE'!$A55)) ),"")</f>
        <v/>
      </c>
      <c r="Q2" s="772"/>
      <c r="R2" s="772"/>
      <c r="S2" s="773"/>
      <c r="T2" s="76"/>
      <c r="U2" s="771" t="str">
        <f t="array" ref="U2">IFERROR( INDEX('SFA PROCUREMENT TABLE'!$A$52:$A$69,  SMALL( IF('SFA PROCUREMENT TABLE'!$H$52:$H$69 = "Select for Review", ROW('SFA PROCUREMENT TABLE'!$A$52:$A$69)-ROW('SFA PROCUREMENT TABLE'!$A$52)+1 ),  ROWS('SFA PROCUREMENT TABLE'!$A$52:'SFA PROCUREMENT TABLE'!$A56)) ),"")</f>
        <v/>
      </c>
      <c r="V2" s="772"/>
      <c r="W2" s="772"/>
      <c r="X2" s="773"/>
      <c r="Y2" s="76"/>
      <c r="Z2" s="77"/>
      <c r="AA2" s="77"/>
      <c r="AB2" s="77"/>
      <c r="AC2" s="77"/>
      <c r="AD2" s="77"/>
      <c r="AE2" s="77"/>
    </row>
    <row r="3" spans="1:31" s="81" customFormat="1" ht="50.25" customHeight="1" x14ac:dyDescent="0.25">
      <c r="A3" s="70" t="s">
        <v>39</v>
      </c>
      <c r="B3" s="70" t="s">
        <v>38</v>
      </c>
      <c r="C3" s="70" t="s">
        <v>231</v>
      </c>
      <c r="D3" s="70" t="s">
        <v>232</v>
      </c>
      <c r="E3" s="71"/>
      <c r="F3" s="70" t="s">
        <v>39</v>
      </c>
      <c r="G3" s="70" t="s">
        <v>38</v>
      </c>
      <c r="H3" s="70" t="s">
        <v>231</v>
      </c>
      <c r="I3" s="70" t="s">
        <v>232</v>
      </c>
      <c r="J3" s="71"/>
      <c r="K3" s="70" t="s">
        <v>39</v>
      </c>
      <c r="L3" s="70" t="s">
        <v>38</v>
      </c>
      <c r="M3" s="70" t="s">
        <v>231</v>
      </c>
      <c r="N3" s="70" t="s">
        <v>232</v>
      </c>
      <c r="O3" s="71"/>
      <c r="P3" s="70" t="s">
        <v>39</v>
      </c>
      <c r="Q3" s="70" t="s">
        <v>38</v>
      </c>
      <c r="R3" s="70" t="s">
        <v>231</v>
      </c>
      <c r="S3" s="70" t="s">
        <v>232</v>
      </c>
      <c r="T3" s="71"/>
      <c r="U3" s="70" t="s">
        <v>39</v>
      </c>
      <c r="V3" s="70" t="s">
        <v>38</v>
      </c>
      <c r="W3" s="70" t="s">
        <v>231</v>
      </c>
      <c r="X3" s="70" t="s">
        <v>232</v>
      </c>
      <c r="Y3" s="79"/>
      <c r="Z3" s="80"/>
      <c r="AA3" s="80"/>
      <c r="AB3" s="80"/>
      <c r="AC3" s="80"/>
      <c r="AD3" s="80"/>
      <c r="AE3" s="80"/>
    </row>
    <row r="4" spans="1:31" s="83" customFormat="1" ht="50.25" customHeight="1" x14ac:dyDescent="0.25">
      <c r="A4" s="56" t="str">
        <f t="array" ref="A4">IF($A$2 &lt;&gt; "",IFERROR(INDEX('SMALL PURCHASES'!$B$7:$B$19,SMALL(IF('SMALL PURCHASES'!$D$6:$H$19=$A$2,ROW('SMALL PURCHASES'!$B$7:$B$19)-ROW('SMALL PURCHASES'!$B$7)+1),ROWS('SMALL PURCHASES'!$B$7:'SMALL PURCHASES'!$B7))),""), "")</f>
        <v/>
      </c>
      <c r="B4" s="57" t="str">
        <f>IFERROR(VLOOKUP(A4,'SMALL PURCHASES'!$B:$I,9,0),"")</f>
        <v/>
      </c>
      <c r="C4" s="63"/>
      <c r="D4" s="63"/>
      <c r="E4" s="75"/>
      <c r="F4" s="56" t="str">
        <f t="array" ref="F4">IF($F$2 &lt;&gt; "",IFERROR(INDEX('SMALL PURCHASES'!$B$7:$B$19,SMALL(IF('SMALL PURCHASES'!$D$6:$H$19=$F$2,ROW('SMALL PURCHASES'!$B$7:$B$19)-ROW('SMALL PURCHASES'!$B$7)+1),ROWS('SMALL PURCHASES'!$B$7:'SMALL PURCHASES'!$B7))),""), "")</f>
        <v/>
      </c>
      <c r="G4" s="57" t="str">
        <f>IFERROR(VLOOKUP(F4,'SMALL PURCHASES'!$B:$I,9,0),"")</f>
        <v/>
      </c>
      <c r="H4" s="63"/>
      <c r="I4" s="63"/>
      <c r="J4" s="75"/>
      <c r="K4" s="56" t="str">
        <f t="array" ref="K4">IF($K$2 &lt;&gt; "",IFERROR(INDEX('SMALL PURCHASES'!$B$7:$B$19,SMALL(IF('SMALL PURCHASES'!$D$6:$H$19=$K$2,ROW('SMALL PURCHASES'!$B$7:$B$19)-ROW('SMALL PURCHASES'!$B$7)+1),ROWS('SMALL PURCHASES'!$B$7:'SMALL PURCHASES'!$B7))),""), "")</f>
        <v/>
      </c>
      <c r="L4" s="57" t="str">
        <f>IFERROR(VLOOKUP(K4,'SMALL PURCHASES'!$B:$I,9,0),"")</f>
        <v/>
      </c>
      <c r="M4" s="63"/>
      <c r="N4" s="63"/>
      <c r="O4" s="75"/>
      <c r="P4" s="56" t="str">
        <f t="array" ref="P4">IF($P$2 &lt;&gt; "",IFERROR(INDEX('SMALL PURCHASES'!$B$7:$B$19,SMALL(IF('SMALL PURCHASES'!$D$6:$H$19=$P$2,ROW('SMALL PURCHASES'!$B$7:$B$19)-ROW('SMALL PURCHASES'!$B$7)+1),ROWS('SMALL PURCHASES'!$B$7:'SMALL PURCHASES'!$B7))),""), "")</f>
        <v/>
      </c>
      <c r="Q4" s="57" t="str">
        <f>IFERROR(VLOOKUP(P4,'SMALL PURCHASES'!$B:$I,9,0),"")</f>
        <v/>
      </c>
      <c r="R4" s="63"/>
      <c r="S4" s="63"/>
      <c r="T4" s="75"/>
      <c r="U4" s="56" t="str">
        <f t="array" ref="U4">IF($U$2 &lt;&gt; "",IFERROR(INDEX('SMALL PURCHASES'!$B$7:$B$19,SMALL(IF('SMALL PURCHASES'!$D$6:$H$19=$U$2,ROW('SMALL PURCHASES'!$B$7:$B$19)-ROW('SMALL PURCHASES'!$B$7)+1),ROWS('SMALL PURCHASES'!$B$7:'SMALL PURCHASES'!$B7))),""), "")</f>
        <v/>
      </c>
      <c r="V4" s="57" t="str">
        <f>IFERROR(VLOOKUP(U4,'SMALL PURCHASES'!$B:$I,9,0),"")</f>
        <v/>
      </c>
      <c r="W4" s="63"/>
      <c r="X4" s="63"/>
      <c r="Y4" s="75"/>
      <c r="Z4" s="82"/>
      <c r="AA4" s="82"/>
      <c r="AB4" s="82"/>
      <c r="AC4" s="82"/>
      <c r="AD4" s="82"/>
      <c r="AE4" s="82"/>
    </row>
    <row r="5" spans="1:31" s="83" customFormat="1" ht="50.25" customHeight="1" x14ac:dyDescent="0.25">
      <c r="A5" s="56" t="str">
        <f t="array" ref="A5">IF($A$2 &lt;&gt; "",IFERROR(INDEX('SMALL PURCHASES'!$B$7:$B$19,SMALL(IF('SMALL PURCHASES'!$D$6:$H$19=$A$2,ROW('SMALL PURCHASES'!$B$7:$B$19)-ROW('SMALL PURCHASES'!$B$7)+1),ROWS('SMALL PURCHASES'!$B$7:'SMALL PURCHASES'!$B8))),""), "")</f>
        <v/>
      </c>
      <c r="B5" s="57" t="str">
        <f>IFERROR(VLOOKUP(A5,'SMALL PURCHASES'!$B:$I,9,0),"")</f>
        <v/>
      </c>
      <c r="C5" s="63"/>
      <c r="D5" s="63"/>
      <c r="E5" s="75"/>
      <c r="F5" s="56" t="str">
        <f t="array" ref="F5">IF($F$2 &lt;&gt; "",IFERROR(INDEX('SMALL PURCHASES'!$B$7:$B$19,SMALL(IF('SMALL PURCHASES'!$D$6:$H$19=$F$2,ROW('SMALL PURCHASES'!$B$7:$B$19)-ROW('SMALL PURCHASES'!$B$7)+1),ROWS('SMALL PURCHASES'!$B$7:'SMALL PURCHASES'!$B8))),""), "")</f>
        <v/>
      </c>
      <c r="G5" s="57" t="str">
        <f>IFERROR(VLOOKUP(F5,'SMALL PURCHASES'!$B:$I,9,0),"")</f>
        <v/>
      </c>
      <c r="H5" s="63"/>
      <c r="I5" s="63"/>
      <c r="J5" s="75"/>
      <c r="K5" s="56" t="str">
        <f t="array" ref="K5">IF($K$2 &lt;&gt; "",IFERROR(INDEX('SMALL PURCHASES'!$B$7:$B$19,SMALL(IF('SMALL PURCHASES'!$D$6:$H$19=$K$2,ROW('SMALL PURCHASES'!$B$7:$B$19)-ROW('SMALL PURCHASES'!$B$7)+1),ROWS('SMALL PURCHASES'!$B$7:'SMALL PURCHASES'!$B8))),""), "")</f>
        <v/>
      </c>
      <c r="L5" s="57" t="str">
        <f>IFERROR(VLOOKUP(K5,'SMALL PURCHASES'!$B:$I,9,0),"")</f>
        <v/>
      </c>
      <c r="M5" s="62" t="str">
        <f>IFERROR( INDEX('SMALL PURCHASES'!#REF!,  SMALL( IF( 'SMALL PURCHASES'!#REF! = "No", ROW('SMALL PURCHASES'!#REF!)-ROW('SMALL PURCHASES'!#REF!)+1 ),  ROWS('SMALL PURCHASES'!#REF!:'SMALL PURCHASES'!#REF!)) ),"")</f>
        <v/>
      </c>
      <c r="N5" s="63"/>
      <c r="O5" s="75"/>
      <c r="P5" s="56" t="str">
        <f t="array" ref="P5">IF($P$2 &lt;&gt; "",IFERROR(INDEX('SMALL PURCHASES'!$B$7:$B$19,SMALL(IF('SMALL PURCHASES'!$D$6:$H$19=$P$2,ROW('SMALL PURCHASES'!$B$7:$B$19)-ROW('SMALL PURCHASES'!$B$7)+1),ROWS('SMALL PURCHASES'!$B$7:'SMALL PURCHASES'!$B8))),""), "")</f>
        <v/>
      </c>
      <c r="Q5" s="57" t="str">
        <f>IFERROR(VLOOKUP(P5,'SMALL PURCHASES'!$B:$I,9,0),"")</f>
        <v/>
      </c>
      <c r="R5" s="63"/>
      <c r="S5" s="63"/>
      <c r="T5" s="75"/>
      <c r="U5" s="56" t="str">
        <f t="array" ref="U5">IF($U$2 &lt;&gt; "",IFERROR(INDEX('SMALL PURCHASES'!$B$7:$B$19,SMALL(IF('SMALL PURCHASES'!$D$6:$H$19=$U$2,ROW('SMALL PURCHASES'!$B$7:$B$19)-ROW('SMALL PURCHASES'!$B$7)+1),ROWS('SMALL PURCHASES'!$B$7:'SMALL PURCHASES'!$B8))),""), "")</f>
        <v/>
      </c>
      <c r="V5" s="57" t="str">
        <f>IFERROR(VLOOKUP(U5,'SMALL PURCHASES'!$B:$I,9,0),"")</f>
        <v/>
      </c>
      <c r="W5" s="63"/>
      <c r="X5" s="63"/>
      <c r="Y5" s="75"/>
      <c r="Z5" s="82"/>
      <c r="AA5" s="82"/>
      <c r="AB5" s="82"/>
      <c r="AC5" s="82"/>
      <c r="AD5" s="82"/>
      <c r="AE5" s="82"/>
    </row>
    <row r="6" spans="1:31" s="83" customFormat="1" ht="50.25" customHeight="1" x14ac:dyDescent="0.25">
      <c r="A6" s="56" t="str">
        <f t="array" ref="A6">IF($A$2 &lt;&gt; "",IFERROR(INDEX('SMALL PURCHASES'!$B$7:$B$19,SMALL(IF('SMALL PURCHASES'!$D$6:$H$19=$A$2,ROW('SMALL PURCHASES'!$B$7:$B$19)-ROW('SMALL PURCHASES'!$B$7)+1),ROWS('SMALL PURCHASES'!$B$7:'SMALL PURCHASES'!$B9))),""), "")</f>
        <v/>
      </c>
      <c r="B6" s="57" t="str">
        <f>IFERROR(VLOOKUP(A6,'SMALL PURCHASES'!$B:$I,9,0),"")</f>
        <v/>
      </c>
      <c r="C6" s="63"/>
      <c r="D6" s="63"/>
      <c r="E6" s="75"/>
      <c r="F6" s="56" t="str">
        <f t="array" ref="F6">IF($F$2 &lt;&gt; "",IFERROR(INDEX('SMALL PURCHASES'!$B$7:$B$19,SMALL(IF('SMALL PURCHASES'!$D$6:$H$19=$F$2,ROW('SMALL PURCHASES'!$B$7:$B$19)-ROW('SMALL PURCHASES'!$B$7)+1),ROWS('SMALL PURCHASES'!$B$7:'SMALL PURCHASES'!$B9))),""), "")</f>
        <v/>
      </c>
      <c r="G6" s="57" t="str">
        <f>IFERROR(VLOOKUP(F6,'SMALL PURCHASES'!$B:$I,9,0),"")</f>
        <v/>
      </c>
      <c r="H6" s="63"/>
      <c r="I6" s="63"/>
      <c r="J6" s="75"/>
      <c r="K6" s="56" t="str">
        <f t="array" ref="K6">IF($K$2 &lt;&gt; "",IFERROR(INDEX('SMALL PURCHASES'!$B$7:$B$19,SMALL(IF('SMALL PURCHASES'!$D$6:$H$19=$K$2,ROW('SMALL PURCHASES'!$B$7:$B$19)-ROW('SMALL PURCHASES'!$B$7)+1),ROWS('SMALL PURCHASES'!$B$7:'SMALL PURCHASES'!$B9))),""), "")</f>
        <v/>
      </c>
      <c r="L6" s="57" t="str">
        <f>IFERROR(VLOOKUP(K6,'SMALL PURCHASES'!$B:$I,9,0),"")</f>
        <v/>
      </c>
      <c r="M6" s="62" t="str">
        <f>IFERROR( INDEX('SMALL PURCHASES'!#REF!,  SMALL( IF( 'SMALL PURCHASES'!#REF! = "No", ROW('SMALL PURCHASES'!#REF!)-ROW('SMALL PURCHASES'!#REF!)+1 ),  ROWS('SMALL PURCHASES'!#REF!:'SMALL PURCHASES'!#REF!)) ),"")</f>
        <v/>
      </c>
      <c r="N6" s="63"/>
      <c r="O6" s="75"/>
      <c r="P6" s="56" t="str">
        <f t="array" ref="P6">IF($P$2 &lt;&gt; "",IFERROR(INDEX('SMALL PURCHASES'!$B$7:$B$19,SMALL(IF('SMALL PURCHASES'!$D$6:$H$19=$P$2,ROW('SMALL PURCHASES'!$B$7:$B$19)-ROW('SMALL PURCHASES'!$B$7)+1),ROWS('SMALL PURCHASES'!$B$7:'SMALL PURCHASES'!$B9))),""), "")</f>
        <v/>
      </c>
      <c r="Q6" s="57" t="str">
        <f>IFERROR(VLOOKUP(P6,'SMALL PURCHASES'!$B:$I,9,0),"")</f>
        <v/>
      </c>
      <c r="R6" s="63"/>
      <c r="S6" s="63"/>
      <c r="T6" s="75"/>
      <c r="U6" s="56" t="str">
        <f t="array" ref="U6">IF($U$2 &lt;&gt; "",IFERROR(INDEX('SMALL PURCHASES'!$B$7:$B$19,SMALL(IF('SMALL PURCHASES'!$D$6:$H$19=$U$2,ROW('SMALL PURCHASES'!$B$7:$B$19)-ROW('SMALL PURCHASES'!$B$7)+1),ROWS('SMALL PURCHASES'!$B$7:'SMALL PURCHASES'!$B9))),""), "")</f>
        <v/>
      </c>
      <c r="V6" s="57" t="str">
        <f>IFERROR(VLOOKUP(U6,'SMALL PURCHASES'!$B:$I,9,0),"")</f>
        <v/>
      </c>
      <c r="W6" s="63"/>
      <c r="X6" s="63"/>
      <c r="Y6" s="75"/>
      <c r="Z6" s="82"/>
      <c r="AA6" s="82"/>
      <c r="AB6" s="82"/>
      <c r="AC6" s="82"/>
      <c r="AD6" s="82"/>
      <c r="AE6" s="82"/>
    </row>
    <row r="7" spans="1:31" s="83" customFormat="1" ht="50.25" customHeight="1" x14ac:dyDescent="0.25">
      <c r="A7" s="56" t="str">
        <f t="array" ref="A7">IF($A$2 &lt;&gt; "",IFERROR(INDEX('SMALL PURCHASES'!$B$7:$B$19,SMALL(IF('SMALL PURCHASES'!$D$6:$H$19=$A$2,ROW('SMALL PURCHASES'!$B$7:$B$19)-ROW('SMALL PURCHASES'!$B$7)+1),ROWS('SMALL PURCHASES'!$B$7:'SMALL PURCHASES'!$B10))),""), "")</f>
        <v/>
      </c>
      <c r="B7" s="57" t="str">
        <f>IFERROR(VLOOKUP(A7,'SMALL PURCHASES'!$B:$I,9,0),"")</f>
        <v/>
      </c>
      <c r="C7" s="63"/>
      <c r="D7" s="63"/>
      <c r="E7" s="75"/>
      <c r="F7" s="56" t="str">
        <f t="array" ref="F7">IF($F$2 &lt;&gt; "",IFERROR(INDEX('SMALL PURCHASES'!$B$7:$B$19,SMALL(IF('SMALL PURCHASES'!$D$6:$H$19=$F$2,ROW('SMALL PURCHASES'!$B$7:$B$19)-ROW('SMALL PURCHASES'!$B$7)+1),ROWS('SMALL PURCHASES'!$B$7:'SMALL PURCHASES'!$B10))),""), "")</f>
        <v/>
      </c>
      <c r="G7" s="57" t="str">
        <f>IFERROR(VLOOKUP(F7,'SMALL PURCHASES'!$B:$I,9,0),"")</f>
        <v/>
      </c>
      <c r="H7" s="63"/>
      <c r="I7" s="63"/>
      <c r="J7" s="75"/>
      <c r="K7" s="56" t="str">
        <f t="array" ref="K7">IF($K$2 &lt;&gt; "",IFERROR(INDEX('SMALL PURCHASES'!$B$7:$B$19,SMALL(IF('SMALL PURCHASES'!$D$6:$H$19=$K$2,ROW('SMALL PURCHASES'!$B$7:$B$19)-ROW('SMALL PURCHASES'!$B$7)+1),ROWS('SMALL PURCHASES'!$B$7:'SMALL PURCHASES'!$B10))),""), "")</f>
        <v/>
      </c>
      <c r="L7" s="57" t="str">
        <f>IFERROR(VLOOKUP(K7,'SMALL PURCHASES'!$B:$I,9,0),"")</f>
        <v/>
      </c>
      <c r="M7" s="62" t="str">
        <f>IFERROR( INDEX('SMALL PURCHASES'!#REF!,  SMALL( IF( 'SMALL PURCHASES'!#REF! = "No", ROW('SMALL PURCHASES'!#REF!)-ROW('SMALL PURCHASES'!#REF!)+1 ),  ROWS('SMALL PURCHASES'!#REF!:'SMALL PURCHASES'!#REF!)) ),"")</f>
        <v/>
      </c>
      <c r="N7" s="63"/>
      <c r="O7" s="75"/>
      <c r="P7" s="56" t="str">
        <f t="array" ref="P7">IF($P$2 &lt;&gt; "",IFERROR(INDEX('SMALL PURCHASES'!$B$7:$B$19,SMALL(IF('SMALL PURCHASES'!$D$6:$H$19=$P$2,ROW('SMALL PURCHASES'!$B$7:$B$19)-ROW('SMALL PURCHASES'!$B$7)+1),ROWS('SMALL PURCHASES'!$B$7:'SMALL PURCHASES'!$B10))),""), "")</f>
        <v/>
      </c>
      <c r="Q7" s="57" t="str">
        <f>IFERROR(VLOOKUP(P7,'SMALL PURCHASES'!$B:$I,9,0),"")</f>
        <v/>
      </c>
      <c r="R7" s="63"/>
      <c r="S7" s="63"/>
      <c r="T7" s="75"/>
      <c r="U7" s="56" t="str">
        <f t="array" ref="U7">IF($U$2 &lt;&gt; "",IFERROR(INDEX('SMALL PURCHASES'!$B$7:$B$19,SMALL(IF('SMALL PURCHASES'!$D$6:$H$19=$U$2,ROW('SMALL PURCHASES'!$B$7:$B$19)-ROW('SMALL PURCHASES'!$B$7)+1),ROWS('SMALL PURCHASES'!$B$7:'SMALL PURCHASES'!$B10))),""), "")</f>
        <v/>
      </c>
      <c r="V7" s="57" t="str">
        <f>IFERROR(VLOOKUP(U7,'SMALL PURCHASES'!$B:$I,9,0),"")</f>
        <v/>
      </c>
      <c r="W7" s="63"/>
      <c r="X7" s="63"/>
      <c r="Y7" s="75"/>
      <c r="Z7" s="82"/>
      <c r="AA7" s="82"/>
      <c r="AB7" s="82"/>
      <c r="AC7" s="82"/>
      <c r="AD7" s="82"/>
      <c r="AE7" s="82"/>
    </row>
    <row r="8" spans="1:31" s="83" customFormat="1" ht="50.25" customHeight="1" x14ac:dyDescent="0.25">
      <c r="A8" s="56" t="str">
        <f t="array" ref="A8">IF($A$2 &lt;&gt; "",IFERROR(INDEX('SMALL PURCHASES'!$B$7:$B$19,SMALL(IF('SMALL PURCHASES'!$D$6:$H$19=$A$2,ROW('SMALL PURCHASES'!$B$7:$B$19)-ROW('SMALL PURCHASES'!$B$7)+1),ROWS('SMALL PURCHASES'!$B$7:'SMALL PURCHASES'!$B11))),""), "")</f>
        <v/>
      </c>
      <c r="B8" s="57" t="str">
        <f>IFERROR(VLOOKUP(A8,'SMALL PURCHASES'!$B:$I,9,0),"")</f>
        <v/>
      </c>
      <c r="C8" s="63"/>
      <c r="D8" s="63"/>
      <c r="E8" s="75"/>
      <c r="F8" s="56" t="str">
        <f t="array" ref="F8">IF($F$2 &lt;&gt; "",IFERROR(INDEX('SMALL PURCHASES'!$B$7:$B$19,SMALL(IF('SMALL PURCHASES'!$D$6:$H$19=$F$2,ROW('SMALL PURCHASES'!$B$7:$B$19)-ROW('SMALL PURCHASES'!$B$7)+1),ROWS('SMALL PURCHASES'!$B$7:'SMALL PURCHASES'!$B11))),""), "")</f>
        <v/>
      </c>
      <c r="G8" s="57" t="str">
        <f>IFERROR(VLOOKUP(F8,'SMALL PURCHASES'!$B:$I,9,0),"")</f>
        <v/>
      </c>
      <c r="H8" s="63"/>
      <c r="I8" s="63"/>
      <c r="J8" s="75"/>
      <c r="K8" s="56" t="str">
        <f t="array" ref="K8">IF($K$2 &lt;&gt; "",IFERROR(INDEX('SMALL PURCHASES'!$B$7:$B$19,SMALL(IF('SMALL PURCHASES'!$D$6:$H$19=$K$2,ROW('SMALL PURCHASES'!$B$7:$B$19)-ROW('SMALL PURCHASES'!$B$7)+1),ROWS('SMALL PURCHASES'!$B$7:'SMALL PURCHASES'!$B11))),""), "")</f>
        <v/>
      </c>
      <c r="L8" s="57" t="str">
        <f>IFERROR(VLOOKUP(K8,'SMALL PURCHASES'!$B:$I,9,0),"")</f>
        <v/>
      </c>
      <c r="M8" s="62" t="str">
        <f>IFERROR( INDEX('SMALL PURCHASES'!#REF!,  SMALL( IF( 'SMALL PURCHASES'!#REF! = "No", ROW('SMALL PURCHASES'!#REF!)-ROW('SMALL PURCHASES'!#REF!)+1 ),  ROWS('SMALL PURCHASES'!#REF!:'SMALL PURCHASES'!#REF!)) ),"")</f>
        <v/>
      </c>
      <c r="N8" s="63"/>
      <c r="O8" s="75"/>
      <c r="P8" s="56" t="str">
        <f t="array" ref="P8">IF($P$2 &lt;&gt; "",IFERROR(INDEX('SMALL PURCHASES'!$B$7:$B$19,SMALL(IF('SMALL PURCHASES'!$D$6:$H$19=$P$2,ROW('SMALL PURCHASES'!$B$7:$B$19)-ROW('SMALL PURCHASES'!$B$7)+1),ROWS('SMALL PURCHASES'!$B$7:'SMALL PURCHASES'!$B11))),""), "")</f>
        <v/>
      </c>
      <c r="Q8" s="57" t="str">
        <f>IFERROR(VLOOKUP(P8,'SMALL PURCHASES'!$B:$I,9,0),"")</f>
        <v/>
      </c>
      <c r="R8" s="63"/>
      <c r="S8" s="63"/>
      <c r="T8" s="75"/>
      <c r="U8" s="56" t="str">
        <f t="array" ref="U8">IF($U$2 &lt;&gt; "",IFERROR(INDEX('SMALL PURCHASES'!$B$7:$B$19,SMALL(IF('SMALL PURCHASES'!$D$6:$H$19=$U$2,ROW('SMALL PURCHASES'!$B$7:$B$19)-ROW('SMALL PURCHASES'!$B$7)+1),ROWS('SMALL PURCHASES'!$B$7:'SMALL PURCHASES'!$B11))),""), "")</f>
        <v/>
      </c>
      <c r="V8" s="57" t="str">
        <f>IFERROR(VLOOKUP(U8,'SMALL PURCHASES'!$B:$I,9,0),"")</f>
        <v/>
      </c>
      <c r="W8" s="63"/>
      <c r="X8" s="63"/>
      <c r="Y8" s="75"/>
      <c r="Z8" s="82"/>
      <c r="AA8" s="82"/>
      <c r="AB8" s="82"/>
      <c r="AC8" s="82"/>
      <c r="AD8" s="82"/>
      <c r="AE8" s="82"/>
    </row>
    <row r="9" spans="1:31" s="83" customFormat="1" ht="50.25" customHeight="1" x14ac:dyDescent="0.25">
      <c r="A9" s="56" t="str">
        <f t="array" ref="A9">IF($A$2 &lt;&gt; "",IFERROR(INDEX('SMALL PURCHASES'!$B$7:$B$19,SMALL(IF('SMALL PURCHASES'!$D$6:$H$19=$A$2,ROW('SMALL PURCHASES'!$B$7:$B$19)-ROW('SMALL PURCHASES'!$B$7)+1),ROWS('SMALL PURCHASES'!$B$7:'SMALL PURCHASES'!$B12))),""), "")</f>
        <v/>
      </c>
      <c r="B9" s="57" t="str">
        <f>IFERROR(VLOOKUP(A9,'SMALL PURCHASES'!$B:$I,9,0),"")</f>
        <v/>
      </c>
      <c r="C9" s="63"/>
      <c r="D9" s="63"/>
      <c r="E9" s="75"/>
      <c r="F9" s="56" t="str">
        <f t="array" ref="F9">IF($F$2 &lt;&gt; "",IFERROR(INDEX('SMALL PURCHASES'!$B$7:$B$19,SMALL(IF('SMALL PURCHASES'!$D$6:$H$19=$F$2,ROW('SMALL PURCHASES'!$B$7:$B$19)-ROW('SMALL PURCHASES'!$B$7)+1),ROWS('SMALL PURCHASES'!$B$7:'SMALL PURCHASES'!$B12))),""), "")</f>
        <v/>
      </c>
      <c r="G9" s="57" t="str">
        <f>IFERROR(VLOOKUP(F9,'SMALL PURCHASES'!$B:$I,9,0),"")</f>
        <v/>
      </c>
      <c r="H9" s="63"/>
      <c r="I9" s="63"/>
      <c r="J9" s="75"/>
      <c r="K9" s="56" t="str">
        <f t="array" ref="K9">IF($K$2 &lt;&gt; "",IFERROR(INDEX('SMALL PURCHASES'!$B$7:$B$19,SMALL(IF('SMALL PURCHASES'!$D$6:$H$19=$K$2,ROW('SMALL PURCHASES'!$B$7:$B$19)-ROW('SMALL PURCHASES'!$B$7)+1),ROWS('SMALL PURCHASES'!$B$7:'SMALL PURCHASES'!$B12))),""), "")</f>
        <v/>
      </c>
      <c r="L9" s="57" t="str">
        <f>IFERROR(VLOOKUP(K9,'SMALL PURCHASES'!$B:$I,9,0),"")</f>
        <v/>
      </c>
      <c r="M9" s="62" t="str">
        <f>IFERROR( INDEX('SMALL PURCHASES'!#REF!,  SMALL( IF( 'SMALL PURCHASES'!#REF! = "No", ROW('SMALL PURCHASES'!#REF!)-ROW('SMALL PURCHASES'!#REF!)+1 ),  ROWS('SMALL PURCHASES'!#REF!:'SMALL PURCHASES'!#REF!)) ),"")</f>
        <v/>
      </c>
      <c r="N9" s="63"/>
      <c r="O9" s="75"/>
      <c r="P9" s="56" t="str">
        <f t="array" ref="P9">IF($P$2 &lt;&gt; "",IFERROR(INDEX('SMALL PURCHASES'!$B$7:$B$19,SMALL(IF('SMALL PURCHASES'!$D$6:$H$19=$P$2,ROW('SMALL PURCHASES'!$B$7:$B$19)-ROW('SMALL PURCHASES'!$B$7)+1),ROWS('SMALL PURCHASES'!$B$7:'SMALL PURCHASES'!$B12))),""), "")</f>
        <v/>
      </c>
      <c r="Q9" s="57" t="str">
        <f>IFERROR(VLOOKUP(P9,'SMALL PURCHASES'!$B:$I,9,0),"")</f>
        <v/>
      </c>
      <c r="R9" s="63"/>
      <c r="S9" s="63"/>
      <c r="T9" s="75"/>
      <c r="U9" s="56" t="str">
        <f t="array" ref="U9">IF($U$2 &lt;&gt; "",IFERROR(INDEX('SMALL PURCHASES'!$B$7:$B$19,SMALL(IF('SMALL PURCHASES'!$D$6:$H$19=$U$2,ROW('SMALL PURCHASES'!$B$7:$B$19)-ROW('SMALL PURCHASES'!$B$7)+1),ROWS('SMALL PURCHASES'!$B$7:'SMALL PURCHASES'!$B12))),""), "")</f>
        <v/>
      </c>
      <c r="V9" s="57" t="str">
        <f>IFERROR(VLOOKUP(U9,'SMALL PURCHASES'!$B:$I,9,0),"")</f>
        <v/>
      </c>
      <c r="W9" s="63"/>
      <c r="X9" s="63"/>
      <c r="Y9" s="75"/>
      <c r="Z9" s="82"/>
      <c r="AA9" s="82"/>
      <c r="AB9" s="82"/>
      <c r="AC9" s="82"/>
      <c r="AD9" s="82"/>
      <c r="AE9" s="82"/>
    </row>
    <row r="10" spans="1:31" s="83" customFormat="1" ht="50.25" customHeight="1" x14ac:dyDescent="0.25">
      <c r="A10" s="56" t="str">
        <f t="array" ref="A10">IF($A$2 &lt;&gt; "",IFERROR(INDEX('SMALL PURCHASES'!$B$7:$B$19,SMALL(IF('SMALL PURCHASES'!$D$6:$H$19=$A$2,ROW('SMALL PURCHASES'!$B$7:$B$19)-ROW('SMALL PURCHASES'!$B$7)+1),ROWS('SMALL PURCHASES'!$B$7:'SMALL PURCHASES'!$B13))),""), "")</f>
        <v/>
      </c>
      <c r="B10" s="57" t="str">
        <f>IFERROR(VLOOKUP(A10,'SMALL PURCHASES'!$B:$I,9,0),"")</f>
        <v/>
      </c>
      <c r="C10" s="63"/>
      <c r="D10" s="63"/>
      <c r="E10" s="75"/>
      <c r="F10" s="56" t="str">
        <f t="array" ref="F10">IF($F$2 &lt;&gt; "",IFERROR(INDEX('SMALL PURCHASES'!$B$7:$B$19,SMALL(IF('SMALL PURCHASES'!$D$6:$H$19=$F$2,ROW('SMALL PURCHASES'!$B$7:$B$19)-ROW('SMALL PURCHASES'!$B$7)+1),ROWS('SMALL PURCHASES'!$B$7:'SMALL PURCHASES'!$B13))),""), "")</f>
        <v/>
      </c>
      <c r="G10" s="57" t="str">
        <f>IFERROR(VLOOKUP(F10,'SMALL PURCHASES'!$B:$I,9,0),"")</f>
        <v/>
      </c>
      <c r="H10" s="63"/>
      <c r="I10" s="63"/>
      <c r="J10" s="75"/>
      <c r="K10" s="56" t="str">
        <f t="array" ref="K10">IF($K$2 &lt;&gt; "",IFERROR(INDEX('SMALL PURCHASES'!$B$7:$B$19,SMALL(IF('SMALL PURCHASES'!$D$6:$H$19=$K$2,ROW('SMALL PURCHASES'!$B$7:$B$19)-ROW('SMALL PURCHASES'!$B$7)+1),ROWS('SMALL PURCHASES'!$B$7:'SMALL PURCHASES'!$B13))),""), "")</f>
        <v/>
      </c>
      <c r="L10" s="57" t="str">
        <f>IFERROR(VLOOKUP(K10,'SMALL PURCHASES'!$B:$I,9,0),"")</f>
        <v/>
      </c>
      <c r="M10" s="62" t="str">
        <f>IFERROR( INDEX('SMALL PURCHASES'!#REF!,  SMALL( IF( 'SMALL PURCHASES'!#REF! = "No", ROW('SMALL PURCHASES'!#REF!)-ROW('SMALL PURCHASES'!#REF!)+1 ),  ROWS('SMALL PURCHASES'!#REF!:'SMALL PURCHASES'!#REF!)) ),"")</f>
        <v/>
      </c>
      <c r="N10" s="63"/>
      <c r="O10" s="75"/>
      <c r="P10" s="56" t="str">
        <f t="array" ref="P10">IF($P$2 &lt;&gt; "",IFERROR(INDEX('SMALL PURCHASES'!$B$7:$B$19,SMALL(IF('SMALL PURCHASES'!$D$6:$H$19=$P$2,ROW('SMALL PURCHASES'!$B$7:$B$19)-ROW('SMALL PURCHASES'!$B$7)+1),ROWS('SMALL PURCHASES'!$B$7:'SMALL PURCHASES'!$B13))),""), "")</f>
        <v/>
      </c>
      <c r="Q10" s="57" t="str">
        <f>IFERROR(VLOOKUP(P10,'SMALL PURCHASES'!$B:$I,9,0),"")</f>
        <v/>
      </c>
      <c r="R10" s="63"/>
      <c r="S10" s="63"/>
      <c r="T10" s="75"/>
      <c r="U10" s="56" t="str">
        <f t="array" ref="U10">IF($U$2 &lt;&gt; "",IFERROR(INDEX('SMALL PURCHASES'!$B$7:$B$19,SMALL(IF('SMALL PURCHASES'!$D$6:$H$19=$U$2,ROW('SMALL PURCHASES'!$B$7:$B$19)-ROW('SMALL PURCHASES'!$B$7)+1),ROWS('SMALL PURCHASES'!$B$7:'SMALL PURCHASES'!$B13))),""), "")</f>
        <v/>
      </c>
      <c r="V10" s="57" t="str">
        <f>IFERROR(VLOOKUP(U10,'SMALL PURCHASES'!$B:$I,9,0),"")</f>
        <v/>
      </c>
      <c r="W10" s="63"/>
      <c r="X10" s="63"/>
      <c r="Y10" s="75"/>
      <c r="Z10" s="82"/>
      <c r="AA10" s="82"/>
      <c r="AB10" s="82"/>
      <c r="AC10" s="82"/>
      <c r="AD10" s="82"/>
      <c r="AE10" s="82"/>
    </row>
    <row r="11" spans="1:31" s="83" customFormat="1" ht="50.25" customHeight="1" x14ac:dyDescent="0.25">
      <c r="A11" s="56" t="str">
        <f t="array" ref="A11">IF($A$2 &lt;&gt; "",IFERROR(INDEX('SMALL PURCHASES'!$B$7:$B$19,SMALL(IF('SMALL PURCHASES'!$D$6:$H$19=$A$2,ROW('SMALL PURCHASES'!$B$7:$B$19)-ROW('SMALL PURCHASES'!$B$7)+1),ROWS('SMALL PURCHASES'!$B$7:'SMALL PURCHASES'!$B14))),""), "")</f>
        <v/>
      </c>
      <c r="B11" s="57" t="str">
        <f>IFERROR(VLOOKUP(A11,'SMALL PURCHASES'!$B:$I,9,0),"")</f>
        <v/>
      </c>
      <c r="C11" s="63"/>
      <c r="D11" s="63"/>
      <c r="E11" s="75"/>
      <c r="F11" s="56" t="str">
        <f t="array" ref="F11">IF($F$2 &lt;&gt; "",IFERROR(INDEX('SMALL PURCHASES'!$B$7:$B$19,SMALL(IF('SMALL PURCHASES'!$D$6:$H$19=$F$2,ROW('SMALL PURCHASES'!$B$7:$B$19)-ROW('SMALL PURCHASES'!$B$7)+1),ROWS('SMALL PURCHASES'!$B$7:'SMALL PURCHASES'!$B14))),""), "")</f>
        <v/>
      </c>
      <c r="G11" s="57" t="str">
        <f>IFERROR(VLOOKUP(F11,'SMALL PURCHASES'!$B:$I,9,0),"")</f>
        <v/>
      </c>
      <c r="H11" s="63"/>
      <c r="I11" s="63"/>
      <c r="J11" s="75"/>
      <c r="K11" s="56" t="str">
        <f t="array" ref="K11">IF($K$2 &lt;&gt; "",IFERROR(INDEX('SMALL PURCHASES'!$B$7:$B$19,SMALL(IF('SMALL PURCHASES'!$D$6:$H$19=$K$2,ROW('SMALL PURCHASES'!$B$7:$B$19)-ROW('SMALL PURCHASES'!$B$7)+1),ROWS('SMALL PURCHASES'!$B$7:'SMALL PURCHASES'!$B14))),""), "")</f>
        <v/>
      </c>
      <c r="L11" s="57" t="str">
        <f>IFERROR(VLOOKUP(K11,'SMALL PURCHASES'!$B:$I,9,0),"")</f>
        <v/>
      </c>
      <c r="M11" s="62" t="str">
        <f>IFERROR( INDEX('SMALL PURCHASES'!#REF!,  SMALL( IF( 'SMALL PURCHASES'!#REF! = "No", ROW('SMALL PURCHASES'!#REF!)-ROW('SMALL PURCHASES'!#REF!)+1 ),  ROWS('SMALL PURCHASES'!#REF!:'SMALL PURCHASES'!#REF!)) ),"")</f>
        <v/>
      </c>
      <c r="N11" s="63"/>
      <c r="O11" s="75"/>
      <c r="P11" s="56" t="str">
        <f t="array" ref="P11">IF($P$2 &lt;&gt; "",IFERROR(INDEX('SMALL PURCHASES'!$B$7:$B$19,SMALL(IF('SMALL PURCHASES'!$D$6:$H$19=$P$2,ROW('SMALL PURCHASES'!$B$7:$B$19)-ROW('SMALL PURCHASES'!$B$7)+1),ROWS('SMALL PURCHASES'!$B$7:'SMALL PURCHASES'!$B14))),""), "")</f>
        <v/>
      </c>
      <c r="Q11" s="57" t="str">
        <f>IFERROR(VLOOKUP(P11,'SMALL PURCHASES'!$B:$I,9,0),"")</f>
        <v/>
      </c>
      <c r="R11" s="63"/>
      <c r="S11" s="63"/>
      <c r="T11" s="75"/>
      <c r="U11" s="56" t="str">
        <f t="array" ref="U11">IF($U$2 &lt;&gt; "",IFERROR(INDEX('SMALL PURCHASES'!$B$7:$B$19,SMALL(IF('SMALL PURCHASES'!$D$6:$H$19=$U$2,ROW('SMALL PURCHASES'!$B$7:$B$19)-ROW('SMALL PURCHASES'!$B$7)+1),ROWS('SMALL PURCHASES'!$B$7:'SMALL PURCHASES'!$B14))),""), "")</f>
        <v/>
      </c>
      <c r="V11" s="57" t="str">
        <f>IFERROR(VLOOKUP(U11,'SMALL PURCHASES'!$B:$I,9,0),"")</f>
        <v/>
      </c>
      <c r="W11" s="63"/>
      <c r="X11" s="63"/>
      <c r="Y11" s="75"/>
      <c r="Z11" s="82"/>
      <c r="AA11" s="82"/>
      <c r="AB11" s="82"/>
      <c r="AC11" s="82"/>
      <c r="AD11" s="82"/>
      <c r="AE11" s="82"/>
    </row>
    <row r="12" spans="1:31" s="83" customFormat="1" ht="50.25" customHeight="1" x14ac:dyDescent="0.25">
      <c r="A12" s="56" t="str">
        <f t="array" ref="A12">IF($A$2 &lt;&gt; "",IFERROR(INDEX('SMALL PURCHASES'!$B$7:$B$19,SMALL(IF('SMALL PURCHASES'!$D$6:$H$19=$A$2,ROW('SMALL PURCHASES'!$B$7:$B$19)-ROW('SMALL PURCHASES'!$B$7)+1),ROWS('SMALL PURCHASES'!$B$7:'SMALL PURCHASES'!$B15))),""), "")</f>
        <v/>
      </c>
      <c r="B12" s="57" t="str">
        <f>IFERROR(VLOOKUP(A12,'SMALL PURCHASES'!$B:$I,9,0),"")</f>
        <v/>
      </c>
      <c r="C12" s="63"/>
      <c r="D12" s="63"/>
      <c r="E12" s="75"/>
      <c r="F12" s="56" t="str">
        <f t="array" ref="F12">IF($F$2 &lt;&gt; "",IFERROR(INDEX('SMALL PURCHASES'!$B$7:$B$19,SMALL(IF('SMALL PURCHASES'!$D$6:$H$19=$F$2,ROW('SMALL PURCHASES'!$B$7:$B$19)-ROW('SMALL PURCHASES'!$B$7)+1),ROWS('SMALL PURCHASES'!$B$7:'SMALL PURCHASES'!$B15))),""), "")</f>
        <v/>
      </c>
      <c r="G12" s="57" t="str">
        <f>IFERROR(VLOOKUP(F12,'SMALL PURCHASES'!$B:$I,9,0),"")</f>
        <v/>
      </c>
      <c r="H12" s="63"/>
      <c r="I12" s="63"/>
      <c r="J12" s="75"/>
      <c r="K12" s="56" t="str">
        <f t="array" ref="K12">IF($K$2 &lt;&gt; "",IFERROR(INDEX('SMALL PURCHASES'!$B$7:$B$19,SMALL(IF('SMALL PURCHASES'!$D$6:$H$19=$K$2,ROW('SMALL PURCHASES'!$B$7:$B$19)-ROW('SMALL PURCHASES'!$B$7)+1),ROWS('SMALL PURCHASES'!$B$7:'SMALL PURCHASES'!$B15))),""), "")</f>
        <v/>
      </c>
      <c r="L12" s="57" t="str">
        <f>IFERROR(VLOOKUP(K12,'SMALL PURCHASES'!$B:$I,9,0),"")</f>
        <v/>
      </c>
      <c r="M12" s="62" t="str">
        <f>IFERROR( INDEX('SMALL PURCHASES'!#REF!,  SMALL( IF( 'SMALL PURCHASES'!#REF! = "No", ROW('SMALL PURCHASES'!#REF!)-ROW('SMALL PURCHASES'!#REF!)+1 ),  ROWS('SMALL PURCHASES'!#REF!:'SMALL PURCHASES'!#REF!)) ),"")</f>
        <v/>
      </c>
      <c r="N12" s="63"/>
      <c r="O12" s="75"/>
      <c r="P12" s="56" t="str">
        <f t="array" ref="P12">IF($P$2 &lt;&gt; "",IFERROR(INDEX('SMALL PURCHASES'!$B$7:$B$19,SMALL(IF('SMALL PURCHASES'!$D$6:$H$19=$P$2,ROW('SMALL PURCHASES'!$B$7:$B$19)-ROW('SMALL PURCHASES'!$B$7)+1),ROWS('SMALL PURCHASES'!$B$7:'SMALL PURCHASES'!$B15))),""), "")</f>
        <v/>
      </c>
      <c r="Q12" s="57" t="str">
        <f>IFERROR(VLOOKUP(P12,'SMALL PURCHASES'!$B:$I,9,0),"")</f>
        <v/>
      </c>
      <c r="R12" s="63"/>
      <c r="S12" s="63"/>
      <c r="T12" s="75"/>
      <c r="U12" s="56" t="str">
        <f t="array" ref="U12">IF($U$2 &lt;&gt; "",IFERROR(INDEX('SMALL PURCHASES'!$B$7:$B$19,SMALL(IF('SMALL PURCHASES'!$D$6:$H$19=$U$2,ROW('SMALL PURCHASES'!$B$7:$B$19)-ROW('SMALL PURCHASES'!$B$7)+1),ROWS('SMALL PURCHASES'!$B$7:'SMALL PURCHASES'!$B15))),""), "")</f>
        <v/>
      </c>
      <c r="V12" s="57" t="str">
        <f>IFERROR(VLOOKUP(U12,'SMALL PURCHASES'!$B:$I,9,0),"")</f>
        <v/>
      </c>
      <c r="W12" s="63"/>
      <c r="X12" s="63"/>
      <c r="Y12" s="75"/>
      <c r="Z12" s="82"/>
      <c r="AA12" s="82"/>
      <c r="AB12" s="82"/>
      <c r="AC12" s="82"/>
      <c r="AD12" s="82"/>
      <c r="AE12" s="82"/>
    </row>
    <row r="13" spans="1:31" s="83" customFormat="1" ht="50.25" customHeight="1" x14ac:dyDescent="0.25">
      <c r="A13" s="56" t="str">
        <f t="array" ref="A13">IF($A$2 &lt;&gt; "",IFERROR(INDEX('SMALL PURCHASES'!$B$7:$B$19,SMALL(IF('SMALL PURCHASES'!$D$6:$H$19=$A$2,ROW('SMALL PURCHASES'!$B$7:$B$19)-ROW('SMALL PURCHASES'!$B$7)+1),ROWS('SMALL PURCHASES'!$B$7:'SMALL PURCHASES'!$B16))),""), "")</f>
        <v/>
      </c>
      <c r="B13" s="57" t="str">
        <f>IFERROR(VLOOKUP(A13,'SMALL PURCHASES'!$B:$I,9,0),"")</f>
        <v/>
      </c>
      <c r="C13" s="63"/>
      <c r="D13" s="63"/>
      <c r="E13" s="75"/>
      <c r="F13" s="56" t="str">
        <f t="array" ref="F13">IF($F$2 &lt;&gt; "",IFERROR(INDEX('SMALL PURCHASES'!$B$7:$B$19,SMALL(IF('SMALL PURCHASES'!$D$6:$H$19=$F$2,ROW('SMALL PURCHASES'!$B$7:$B$19)-ROW('SMALL PURCHASES'!$B$7)+1),ROWS('SMALL PURCHASES'!$B$7:'SMALL PURCHASES'!$B16))),""), "")</f>
        <v/>
      </c>
      <c r="G13" s="57" t="str">
        <f>IFERROR(VLOOKUP(F13,'SMALL PURCHASES'!$B:$I,9,0),"")</f>
        <v/>
      </c>
      <c r="H13" s="63"/>
      <c r="I13" s="63"/>
      <c r="J13" s="75"/>
      <c r="K13" s="56" t="str">
        <f t="array" ref="K13">IF($K$2 &lt;&gt; "",IFERROR(INDEX('SMALL PURCHASES'!$B$7:$B$19,SMALL(IF('SMALL PURCHASES'!$D$6:$H$19=$K$2,ROW('SMALL PURCHASES'!$B$7:$B$19)-ROW('SMALL PURCHASES'!$B$7)+1),ROWS('SMALL PURCHASES'!$B$7:'SMALL PURCHASES'!$B16))),""), "")</f>
        <v/>
      </c>
      <c r="L13" s="57" t="str">
        <f>IFERROR(VLOOKUP(K13,'SMALL PURCHASES'!$B:$I,9,0),"")</f>
        <v/>
      </c>
      <c r="M13" s="62" t="str">
        <f>IFERROR( INDEX('SMALL PURCHASES'!#REF!,  SMALL( IF( 'SMALL PURCHASES'!#REF! = "No", ROW('SMALL PURCHASES'!#REF!)-ROW('SMALL PURCHASES'!#REF!)+1 ),  ROWS('SMALL PURCHASES'!#REF!:'SMALL PURCHASES'!#REF!)) ),"")</f>
        <v/>
      </c>
      <c r="N13" s="63"/>
      <c r="O13" s="75"/>
      <c r="P13" s="56" t="str">
        <f t="array" ref="P13">IF($P$2 &lt;&gt; "",IFERROR(INDEX('SMALL PURCHASES'!$B$7:$B$19,SMALL(IF('SMALL PURCHASES'!$D$6:$H$19=$P$2,ROW('SMALL PURCHASES'!$B$7:$B$19)-ROW('SMALL PURCHASES'!$B$7)+1),ROWS('SMALL PURCHASES'!$B$7:'SMALL PURCHASES'!$B16))),""), "")</f>
        <v/>
      </c>
      <c r="Q13" s="57" t="str">
        <f>IFERROR(VLOOKUP(P13,'SMALL PURCHASES'!$B:$I,9,0),"")</f>
        <v/>
      </c>
      <c r="R13" s="63"/>
      <c r="S13" s="63"/>
      <c r="T13" s="75"/>
      <c r="U13" s="56" t="str">
        <f t="array" ref="U13">IF($U$2 &lt;&gt; "",IFERROR(INDEX('SMALL PURCHASES'!$B$7:$B$19,SMALL(IF('SMALL PURCHASES'!$D$6:$H$19=$U$2,ROW('SMALL PURCHASES'!$B$7:$B$19)-ROW('SMALL PURCHASES'!$B$7)+1),ROWS('SMALL PURCHASES'!$B$7:'SMALL PURCHASES'!$B16))),""), "")</f>
        <v/>
      </c>
      <c r="V13" s="57" t="str">
        <f>IFERROR(VLOOKUP(U13,'SMALL PURCHASES'!$B:$I,9,0),"")</f>
        <v/>
      </c>
      <c r="W13" s="63"/>
      <c r="X13" s="63"/>
      <c r="Y13" s="75"/>
      <c r="Z13" s="82"/>
      <c r="AA13" s="82"/>
      <c r="AB13" s="82"/>
      <c r="AC13" s="82"/>
      <c r="AD13" s="82"/>
      <c r="AE13" s="82"/>
    </row>
    <row r="14" spans="1:31" s="83" customFormat="1" ht="50.25" customHeight="1" x14ac:dyDescent="0.25">
      <c r="A14" s="56" t="str">
        <f t="array" ref="A14">IF($A$2 &lt;&gt; "",IFERROR(INDEX('SMALL PURCHASES'!$B$7:$B$19,SMALL(IF('SMALL PURCHASES'!$D$6:$H$19=$A$2,ROW('SMALL PURCHASES'!$B$7:$B$19)-ROW('SMALL PURCHASES'!$B$7)+1),ROWS('SMALL PURCHASES'!$B$7:'SMALL PURCHASES'!$B17))),""), "")</f>
        <v/>
      </c>
      <c r="B14" s="57" t="str">
        <f>IFERROR(VLOOKUP(A14,'SMALL PURCHASES'!$B:$I,9,0),"")</f>
        <v/>
      </c>
      <c r="C14" s="63"/>
      <c r="D14" s="63"/>
      <c r="E14" s="75"/>
      <c r="F14" s="56" t="str">
        <f t="array" ref="F14">IF($F$2 &lt;&gt; "",IFERROR(INDEX('SMALL PURCHASES'!$B$7:$B$19,SMALL(IF('SMALL PURCHASES'!$D$6:$H$19=$F$2,ROW('SMALL PURCHASES'!$B$7:$B$19)-ROW('SMALL PURCHASES'!$B$7)+1),ROWS('SMALL PURCHASES'!$B$7:'SMALL PURCHASES'!$B17))),""), "")</f>
        <v/>
      </c>
      <c r="G14" s="57" t="str">
        <f>IFERROR(VLOOKUP(F14,'SMALL PURCHASES'!$B:$I,9,0),"")</f>
        <v/>
      </c>
      <c r="H14" s="63"/>
      <c r="I14" s="63"/>
      <c r="J14" s="75"/>
      <c r="K14" s="56" t="str">
        <f t="array" ref="K14">IF($K$2 &lt;&gt; "",IFERROR(INDEX('SMALL PURCHASES'!$B$7:$B$19,SMALL(IF('SMALL PURCHASES'!$D$6:$H$19=$K$2,ROW('SMALL PURCHASES'!$B$7:$B$19)-ROW('SMALL PURCHASES'!$B$7)+1),ROWS('SMALL PURCHASES'!$B$7:'SMALL PURCHASES'!$B17))),""), "")</f>
        <v/>
      </c>
      <c r="L14" s="57" t="str">
        <f>IFERROR(VLOOKUP(K14,'SMALL PURCHASES'!$B:$I,9,0),"")</f>
        <v/>
      </c>
      <c r="M14" s="62" t="str">
        <f>IFERROR( INDEX('SMALL PURCHASES'!#REF!,  SMALL( IF( 'SMALL PURCHASES'!#REF! = "No", ROW('SMALL PURCHASES'!#REF!)-ROW('SMALL PURCHASES'!#REF!)+1 ),  ROWS('SMALL PURCHASES'!#REF!:'SMALL PURCHASES'!#REF!)) ),"")</f>
        <v/>
      </c>
      <c r="N14" s="63"/>
      <c r="O14" s="75"/>
      <c r="P14" s="56" t="str">
        <f t="array" ref="P14">IF($P$2 &lt;&gt; "",IFERROR(INDEX('SMALL PURCHASES'!$B$7:$B$19,SMALL(IF('SMALL PURCHASES'!$D$6:$H$19=$P$2,ROW('SMALL PURCHASES'!$B$7:$B$19)-ROW('SMALL PURCHASES'!$B$7)+1),ROWS('SMALL PURCHASES'!$B$7:'SMALL PURCHASES'!$B17))),""), "")</f>
        <v/>
      </c>
      <c r="Q14" s="57" t="str">
        <f>IFERROR(VLOOKUP(P14,'SMALL PURCHASES'!$B:$I,9,0),"")</f>
        <v/>
      </c>
      <c r="R14" s="63"/>
      <c r="S14" s="63"/>
      <c r="T14" s="75"/>
      <c r="U14" s="56" t="str">
        <f t="array" ref="U14">IF($U$2 &lt;&gt; "",IFERROR(INDEX('SMALL PURCHASES'!$B$7:$B$19,SMALL(IF('SMALL PURCHASES'!$D$6:$H$19=$U$2,ROW('SMALL PURCHASES'!$B$7:$B$19)-ROW('SMALL PURCHASES'!$B$7)+1),ROWS('SMALL PURCHASES'!$B$7:'SMALL PURCHASES'!$B19))),""), "")</f>
        <v/>
      </c>
      <c r="V14" s="57" t="str">
        <f>IFERROR(VLOOKUP(U14,'SMALL PURCHASES'!$B:$I,9,0),"")</f>
        <v/>
      </c>
      <c r="W14" s="63"/>
      <c r="X14" s="63"/>
      <c r="Y14" s="75"/>
      <c r="Z14" s="82"/>
      <c r="AA14" s="82"/>
      <c r="AB14" s="82"/>
      <c r="AC14" s="82"/>
      <c r="AD14" s="82"/>
      <c r="AE14" s="82"/>
    </row>
    <row r="15" spans="1:31" ht="50.25" customHeight="1" x14ac:dyDescent="0.25">
      <c r="A15" s="56" t="str">
        <f t="array" ref="A15">IF($A$2 &lt;&gt; "",IFERROR(INDEX('SMALL PURCHASES'!$B$7:$B$19,SMALL(IF('SMALL PURCHASES'!$D$6:$H$19=$A$2,ROW('SMALL PURCHASES'!$B$7:$B$19)-ROW('SMALL PURCHASES'!$B$7)+1),ROWS('SMALL PURCHASES'!$B$7:'SMALL PURCHASES'!$B18))),""), "")</f>
        <v/>
      </c>
      <c r="B15" s="57" t="str">
        <f>IFERROR(VLOOKUP(A15,'SMALL PURCHASES'!$B:$I,9,0),"")</f>
        <v/>
      </c>
      <c r="C15" s="63"/>
      <c r="D15" s="63"/>
      <c r="E15" s="75"/>
      <c r="F15" s="56" t="str">
        <f t="array" ref="F15">IF($F$2 &lt;&gt; "",IFERROR(INDEX('SMALL PURCHASES'!$B$7:$B$19,SMALL(IF('SMALL PURCHASES'!$D$6:$H$19=$F$2,ROW('SMALL PURCHASES'!$B$7:$B$19)-ROW('SMALL PURCHASES'!$B$7)+1),ROWS('SMALL PURCHASES'!$B$7:'SMALL PURCHASES'!$B18))),""), "")</f>
        <v/>
      </c>
      <c r="G15" s="57" t="str">
        <f>IFERROR(VLOOKUP(F15,'SMALL PURCHASES'!$B:$I,9,0),"")</f>
        <v/>
      </c>
      <c r="H15" s="63"/>
      <c r="I15" s="63"/>
      <c r="J15" s="75"/>
      <c r="K15" s="56" t="str">
        <f t="array" ref="K15">IF($K$2 &lt;&gt; "",IFERROR(INDEX('SMALL PURCHASES'!$B$7:$B$19,SMALL(IF('SMALL PURCHASES'!$D$6:$H$19=$K$2,ROW('SMALL PURCHASES'!$B$7:$B$19)-ROW('SMALL PURCHASES'!$B$7)+1),ROWS('SMALL PURCHASES'!$B$7:'SMALL PURCHASES'!$B18))),""), "")</f>
        <v/>
      </c>
      <c r="L15" s="57" t="str">
        <f>IFERROR(VLOOKUP(K15,'SMALL PURCHASES'!$B:$I,9,0),"")</f>
        <v/>
      </c>
      <c r="M15" s="62" t="str">
        <f>IFERROR( INDEX('SMALL PURCHASES'!#REF!,  SMALL( IF( 'SMALL PURCHASES'!#REF! = "No", ROW('SMALL PURCHASES'!#REF!)-ROW('SMALL PURCHASES'!#REF!)+1 ),  ROWS('SMALL PURCHASES'!#REF!:'SMALL PURCHASES'!#REF!)) ),"")</f>
        <v/>
      </c>
      <c r="N15" s="63"/>
      <c r="O15" s="75"/>
      <c r="P15" s="56" t="str">
        <f t="array" ref="P15">IF($P$2 &lt;&gt; "",IFERROR(INDEX('SMALL PURCHASES'!$B$7:$B$19,SMALL(IF('SMALL PURCHASES'!$D$6:$H$19=$P$2,ROW('SMALL PURCHASES'!$B$7:$B$19)-ROW('SMALL PURCHASES'!$B$7)+1),ROWS('SMALL PURCHASES'!$B$7:'SMALL PURCHASES'!$B18))),""), "")</f>
        <v/>
      </c>
      <c r="Q15" s="57" t="str">
        <f>IFERROR(VLOOKUP(P15,'SMALL PURCHASES'!$B:$I,9,0),"")</f>
        <v/>
      </c>
      <c r="R15" s="63"/>
      <c r="S15" s="63"/>
      <c r="T15" s="75"/>
      <c r="U15" s="56" t="str">
        <f t="array" ref="U15">IF($U$2 &lt;&gt; "",IFERROR(INDEX('SMALL PURCHASES'!$B$7:$B$19,SMALL(IF('SMALL PURCHASES'!$D$6:$H$19=$U$2,ROW('SMALL PURCHASES'!$B$7:$B$19)-ROW('SMALL PURCHASES'!$B$7)+1),ROWS('SMALL PURCHASES'!$B$7:'SMALL PURCHASES'!#REF!))),""), "")</f>
        <v/>
      </c>
      <c r="V15" s="57" t="str">
        <f>IFERROR(VLOOKUP(U15,'SMALL PURCHASES'!$B:$I,9,0),"")</f>
        <v/>
      </c>
      <c r="W15" s="63"/>
      <c r="X15" s="63"/>
      <c r="Y15" s="75"/>
    </row>
    <row r="16" spans="1:31" ht="50.25" customHeight="1" x14ac:dyDescent="0.25">
      <c r="A16" s="56" t="str">
        <f t="array" ref="A16">IF($A$2 &lt;&gt; "",IFERROR(INDEX('SMALL PURCHASES'!$B$7:$B$19,SMALL(IF('SMALL PURCHASES'!$D$6:$H$19=$A$2,ROW('SMALL PURCHASES'!$B$7:$B$19)-ROW('SMALL PURCHASES'!$B$7)+1),ROWS('SMALL PURCHASES'!$B$7:'SMALL PURCHASES'!$B19))),""), "")</f>
        <v/>
      </c>
      <c r="B16" s="57" t="str">
        <f>IFERROR(VLOOKUP(A16,'SMALL PURCHASES'!$B:$I,9,0),"")</f>
        <v/>
      </c>
      <c r="C16" s="63"/>
      <c r="D16" s="63"/>
      <c r="E16" s="75"/>
      <c r="F16" s="56" t="str">
        <f t="array" ref="F16">IF($F$2 &lt;&gt; "",IFERROR(INDEX('SMALL PURCHASES'!$B$7:$B$19,SMALL(IF('SMALL PURCHASES'!$D$6:$H$19=$F$2,ROW('SMALL PURCHASES'!$B$7:$B$19)-ROW('SMALL PURCHASES'!$B$7)+1),ROWS('SMALL PURCHASES'!$B$7:'SMALL PURCHASES'!$B19))),""), "")</f>
        <v/>
      </c>
      <c r="G16" s="57" t="str">
        <f>IFERROR(VLOOKUP(F16,'SMALL PURCHASES'!$B:$I,9,0),"")</f>
        <v/>
      </c>
      <c r="H16" s="63"/>
      <c r="I16" s="63"/>
      <c r="J16" s="75"/>
      <c r="K16" s="56" t="str">
        <f t="array" ref="K16">IF($K$2 &lt;&gt; "",IFERROR(INDEX('SMALL PURCHASES'!$B$7:$B$19,SMALL(IF('SMALL PURCHASES'!$D$6:$H$19=$K$2,ROW('SMALL PURCHASES'!$B$7:$B$19)-ROW('SMALL PURCHASES'!$B$7)+1),ROWS('SMALL PURCHASES'!$B$7:'SMALL PURCHASES'!$B19))),""), "")</f>
        <v/>
      </c>
      <c r="L16" s="57" t="str">
        <f>IFERROR(VLOOKUP(K16,'SMALL PURCHASES'!$B:$I,9,0),"")</f>
        <v/>
      </c>
      <c r="M16" s="62" t="str">
        <f>IFERROR( INDEX('SMALL PURCHASES'!#REF!,  SMALL( IF( 'SMALL PURCHASES'!#REF! = "No", ROW('SMALL PURCHASES'!#REF!)-ROW('SMALL PURCHASES'!#REF!)+1 ),  ROWS('SMALL PURCHASES'!#REF!:'SMALL PURCHASES'!#REF!)) ),"")</f>
        <v/>
      </c>
      <c r="N16" s="63"/>
      <c r="O16" s="75"/>
      <c r="P16" s="56" t="str">
        <f t="array" ref="P16">IF($P$2 &lt;&gt; "",IFERROR(INDEX('SMALL PURCHASES'!$B$7:$B$19,SMALL(IF('SMALL PURCHASES'!$D$6:$H$19=$P$2,ROW('SMALL PURCHASES'!$B$7:$B$19)-ROW('SMALL PURCHASES'!$B$7)+1),ROWS('SMALL PURCHASES'!$B$7:'SMALL PURCHASES'!$B19))),""), "")</f>
        <v/>
      </c>
      <c r="Q16" s="57" t="str">
        <f>IFERROR(VLOOKUP(P16,'SMALL PURCHASES'!$B:$I,9,0),"")</f>
        <v/>
      </c>
      <c r="R16" s="63"/>
      <c r="S16" s="63"/>
      <c r="T16" s="75"/>
      <c r="U16" s="56" t="str">
        <f t="array" ref="U16">IF($U$2 &lt;&gt; "",IFERROR(INDEX('SMALL PURCHASES'!$B$7:$B$19,SMALL(IF('SMALL PURCHASES'!$D$6:$H$19=$U$2,ROW('SMALL PURCHASES'!$B$7:$B$19)-ROW('SMALL PURCHASES'!$B$7)+1),ROWS('SMALL PURCHASES'!$B$7:'SMALL PURCHASES'!$B18))),""), "")</f>
        <v/>
      </c>
      <c r="V16" s="57" t="str">
        <f>IFERROR(VLOOKUP(U16,'SMALL PURCHASES'!$B:$I,9,0),"")</f>
        <v/>
      </c>
      <c r="W16" s="63"/>
      <c r="X16" s="63"/>
      <c r="Y16" s="75"/>
    </row>
    <row r="17" spans="1:25" ht="50.25" customHeight="1" x14ac:dyDescent="0.25">
      <c r="A17" s="56" t="str">
        <f t="array" ref="A17">IF($A$2 &lt;&gt; "",IFERROR(INDEX('SMALL PURCHASES'!$B$7:$B$19,SMALL(IF('SMALL PURCHASES'!$D$6:$H$19=$A$2,ROW('SMALL PURCHASES'!$B$7:$B$19)-ROW('SMALL PURCHASES'!$B$7)+1),ROWS('SMALL PURCHASES'!$B$7:'SMALL PURCHASES'!$B20))),""), "")</f>
        <v/>
      </c>
      <c r="B17" s="57" t="str">
        <f>IFERROR(VLOOKUP(A19,'SMALL PURCHASES'!$B:$I,9,0),"")</f>
        <v/>
      </c>
      <c r="C17" s="63"/>
      <c r="D17" s="63"/>
      <c r="E17" s="75"/>
      <c r="F17" s="56" t="str">
        <f t="array" ref="F17">IF($F$2 &lt;&gt; "",IFERROR(INDEX('SMALL PURCHASES'!$B$7:$B$19,SMALL(IF('SMALL PURCHASES'!$D$6:$H$19=$F$2,ROW('SMALL PURCHASES'!$B$7:$B$19)-ROW('SMALL PURCHASES'!$B$7)+1),ROWS('SMALL PURCHASES'!$B$7:'SMALL PURCHASES'!$B20))),""), "")</f>
        <v/>
      </c>
      <c r="G17" s="57" t="str">
        <f>IFERROR(VLOOKUP(F19,'SMALL PURCHASES'!$B:$I,9,0),"")</f>
        <v/>
      </c>
      <c r="H17" s="63"/>
      <c r="I17" s="63"/>
      <c r="J17" s="75"/>
      <c r="K17" s="56" t="str">
        <f t="array" ref="K17">IF($K$2 &lt;&gt; "",IFERROR(INDEX('SMALL PURCHASES'!$B$7:$B$19,SMALL(IF('SMALL PURCHASES'!$D$6:$H$19=$K$2,ROW('SMALL PURCHASES'!$B$7:$B$19)-ROW('SMALL PURCHASES'!$B$7)+1),ROWS('SMALL PURCHASES'!$B$7:'SMALL PURCHASES'!$B20))),""), "")</f>
        <v/>
      </c>
      <c r="L17" s="57" t="str">
        <f>IFERROR(VLOOKUP(K19,'SMALL PURCHASES'!$B:$I,9,0),"")</f>
        <v/>
      </c>
      <c r="M17" s="62" t="str">
        <f>IFERROR( INDEX('SMALL PURCHASES'!#REF!,  SMALL( IF( 'SMALL PURCHASES'!#REF! = "No", ROW('SMALL PURCHASES'!#REF!)-ROW('SMALL PURCHASES'!#REF!)+1 ),  ROWS('SMALL PURCHASES'!#REF!:'SMALL PURCHASES'!#REF!)) ),"")</f>
        <v/>
      </c>
      <c r="N17" s="63"/>
      <c r="O17" s="75"/>
      <c r="P17" s="56" t="str">
        <f t="array" ref="P17">IF($P$2 &lt;&gt; "",IFERROR(INDEX('SMALL PURCHASES'!$B$7:$B$19,SMALL(IF('SMALL PURCHASES'!$D$6:$H$19=$P$2,ROW('SMALL PURCHASES'!$B$7:$B$19)-ROW('SMALL PURCHASES'!$B$7)+1),ROWS('SMALL PURCHASES'!$B$7:'SMALL PURCHASES'!$B20))),""), "")</f>
        <v/>
      </c>
      <c r="Q17" s="57" t="str">
        <f>IFERROR(VLOOKUP(P19,'SMALL PURCHASES'!$B:$I,9,0),"")</f>
        <v/>
      </c>
      <c r="R17" s="63"/>
      <c r="S17" s="63"/>
      <c r="T17" s="75"/>
      <c r="U17" s="56" t="str">
        <f t="array" ref="U17">IF($U$2 &lt;&gt; "",IFERROR(INDEX('SMALL PURCHASES'!$B$7:$B$19,SMALL(IF('SMALL PURCHASES'!$D$6:$H$19=$U$2,ROW('SMALL PURCHASES'!$B$7:$B$19)-ROW('SMALL PURCHASES'!$B$7)+1),ROWS('SMALL PURCHASES'!$B$7:'SMALL PURCHASES'!$B19))),""), "")</f>
        <v/>
      </c>
      <c r="V17" s="57" t="str">
        <f>IFERROR(VLOOKUP(U19,'SMALL PURCHASES'!$B:$I,9,0),"")</f>
        <v/>
      </c>
      <c r="W17" s="63"/>
      <c r="X17" s="63"/>
      <c r="Y17" s="75"/>
    </row>
    <row r="18" spans="1:25" ht="50.25" customHeight="1" x14ac:dyDescent="0.25">
      <c r="A18" s="67"/>
      <c r="B18" s="67"/>
      <c r="C18" s="67"/>
      <c r="D18" s="67"/>
      <c r="E18" s="67"/>
      <c r="F18" s="67"/>
      <c r="G18" s="67"/>
      <c r="H18" s="67"/>
      <c r="I18" s="67"/>
      <c r="J18" s="67"/>
      <c r="K18" s="67"/>
      <c r="L18" s="67"/>
      <c r="M18" s="67"/>
      <c r="N18" s="67"/>
      <c r="O18" s="67"/>
      <c r="P18" s="67"/>
      <c r="Q18" s="67"/>
      <c r="R18" s="67"/>
      <c r="S18" s="67"/>
      <c r="T18" s="67"/>
      <c r="U18" s="67"/>
      <c r="V18" s="67"/>
      <c r="W18" s="67"/>
      <c r="X18" s="67"/>
      <c r="Y18" s="67"/>
    </row>
    <row r="19" spans="1:25" ht="50.25" customHeight="1" x14ac:dyDescent="0.25">
      <c r="A19" s="67"/>
      <c r="B19" s="67"/>
      <c r="C19" s="67"/>
      <c r="D19" s="67"/>
      <c r="E19" s="67"/>
      <c r="F19" s="67"/>
      <c r="G19" s="67"/>
      <c r="H19" s="67"/>
      <c r="I19" s="67"/>
      <c r="J19" s="67"/>
      <c r="K19" s="67"/>
      <c r="L19" s="67"/>
      <c r="M19" s="67"/>
      <c r="N19" s="67"/>
      <c r="O19" s="67"/>
      <c r="P19" s="67"/>
      <c r="Q19" s="67"/>
      <c r="R19" s="67"/>
      <c r="S19" s="67"/>
      <c r="T19" s="67"/>
      <c r="U19" s="67"/>
      <c r="V19" s="67"/>
      <c r="W19" s="67"/>
      <c r="X19" s="67"/>
      <c r="Y19" s="67"/>
    </row>
  </sheetData>
  <mergeCells count="6">
    <mergeCell ref="A1:Y1"/>
    <mergeCell ref="A2:D2"/>
    <mergeCell ref="K2:N2"/>
    <mergeCell ref="P2:S2"/>
    <mergeCell ref="U2:X2"/>
    <mergeCell ref="F2:I2"/>
  </mergeCell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AL103"/>
  <sheetViews>
    <sheetView zoomScale="55" zoomScaleNormal="55" workbookViewId="0">
      <selection activeCell="A4" sqref="A4"/>
    </sheetView>
  </sheetViews>
  <sheetFormatPr defaultColWidth="25.5703125" defaultRowHeight="15" x14ac:dyDescent="0.25"/>
  <cols>
    <col min="1" max="1" width="97.5703125" style="69" customWidth="1"/>
    <col min="2" max="2" width="31.5703125" style="69" bestFit="1" customWidth="1"/>
    <col min="3" max="3" width="35.5703125" style="69" bestFit="1" customWidth="1"/>
    <col min="4" max="4" width="35.5703125" style="69" customWidth="1"/>
    <col min="5" max="5" width="13.42578125" style="69" customWidth="1"/>
    <col min="6" max="6" width="99.28515625" style="69" customWidth="1"/>
    <col min="7" max="7" width="31.5703125" style="69" bestFit="1" customWidth="1"/>
    <col min="8" max="8" width="35.5703125" style="69" bestFit="1" customWidth="1"/>
    <col min="9" max="9" width="35.5703125" style="69" customWidth="1"/>
    <col min="10" max="10" width="13.42578125" style="69" customWidth="1"/>
    <col min="11" max="11" width="70.7109375" style="69" customWidth="1"/>
    <col min="12" max="12" width="31.5703125" style="69" bestFit="1" customWidth="1"/>
    <col min="13" max="13" width="35.5703125" style="69" bestFit="1" customWidth="1"/>
    <col min="14" max="14" width="35.5703125" style="69" customWidth="1"/>
    <col min="15" max="15" width="13.42578125" style="69" customWidth="1"/>
    <col min="16" max="16" width="64.140625" style="69" customWidth="1"/>
    <col min="17" max="17" width="31.5703125" style="69" bestFit="1" customWidth="1"/>
    <col min="18" max="18" width="35.5703125" style="69" bestFit="1" customWidth="1"/>
    <col min="19" max="19" width="35.5703125" style="69" customWidth="1"/>
    <col min="20" max="20" width="13.42578125" style="69" customWidth="1"/>
    <col min="21" max="21" width="50.42578125" style="69" customWidth="1"/>
    <col min="22" max="22" width="31.5703125" style="69" bestFit="1" customWidth="1"/>
    <col min="23" max="23" width="35.5703125" style="69" bestFit="1" customWidth="1"/>
    <col min="24" max="24" width="35.5703125" style="69" customWidth="1"/>
    <col min="25" max="25" width="13.42578125" style="69" customWidth="1"/>
    <col min="26" max="26" width="50.42578125" style="69" customWidth="1"/>
    <col min="27" max="27" width="31.5703125" style="69" bestFit="1" customWidth="1"/>
    <col min="28" max="28" width="35.5703125" style="69" bestFit="1" customWidth="1"/>
    <col min="29" max="29" width="35.5703125" style="69" customWidth="1"/>
    <col min="30" max="30" width="25.5703125" style="69"/>
    <col min="31" max="38" width="25.5703125" style="68"/>
    <col min="39" max="16384" width="25.5703125" style="69"/>
  </cols>
  <sheetData>
    <row r="1" spans="1:38" ht="46.5" x14ac:dyDescent="0.25">
      <c r="A1" s="766" t="str">
        <f>'SFA PROCUREMENT TABLE'!$A$1:$D$1&amp;" - "&amp;"Formal Procurement Findings"</f>
        <v xml:space="preserve"> - Formal Procurement Findings</v>
      </c>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row>
    <row r="2" spans="1:38" s="86" customFormat="1" ht="26.25" x14ac:dyDescent="0.25">
      <c r="A2" s="774">
        <f t="array" ref="A2">IFERROR( INDEX('SFA PROCUREMENT TABLE'!$A$73:$A$90,  SMALL( IF('SFA PROCUREMENT TABLE'!$K$73:$K$90 = "Select for Review", ROW('SFA PROCUREMENT TABLE'!$A$73:$A$90)-ROW('SFA PROCUREMENT TABLE'!$A$73)+1 ),  ROWS('SFA PROCUREMENT TABLE'!$A$73:'SFA PROCUREMENT TABLE'!$C73)) ),"")</f>
        <v>0</v>
      </c>
      <c r="B2" s="775"/>
      <c r="C2" s="775"/>
      <c r="D2" s="775"/>
      <c r="E2" s="84"/>
      <c r="F2" s="774" t="str">
        <f t="array" ref="F2">IFERROR( INDEX('SFA PROCUREMENT TABLE'!$A$73:$A$90,  SMALL( IF('SFA PROCUREMENT TABLE'!$K$73:$K$90 = "Select for Review", ROW('SFA PROCUREMENT TABLE'!$A$73:$A$90)-ROW('SFA PROCUREMENT TABLE'!$A$73)+1 ),  ROWS('SFA PROCUREMENT TABLE'!$A$73:'SFA PROCUREMENT TABLE'!$C74)) ),"")</f>
        <v/>
      </c>
      <c r="G2" s="775"/>
      <c r="H2" s="775"/>
      <c r="I2" s="775"/>
      <c r="J2" s="84"/>
      <c r="K2" s="768" t="str">
        <f t="array" ref="K2">IFERROR( INDEX('SFA PROCUREMENT TABLE'!$A$73:$A$90,  SMALL( IF('SFA PROCUREMENT TABLE'!$K$73:$K$90 = "Select for Review", ROW('SFA PROCUREMENT TABLE'!$A$73:$A$90)-ROW('SFA PROCUREMENT TABLE'!$A$73)+1 ),  ROWS('SFA PROCUREMENT TABLE'!$A$73:'SFA PROCUREMENT TABLE'!$C75)) ),"")</f>
        <v/>
      </c>
      <c r="L2" s="769"/>
      <c r="M2" s="769"/>
      <c r="N2" s="769"/>
      <c r="O2" s="84"/>
      <c r="P2" s="768" t="str">
        <f t="array" ref="P2">IFERROR( INDEX('SFA PROCUREMENT TABLE'!$A$73:$A$90,  SMALL( IF('SFA PROCUREMENT TABLE'!$K$73:$K$90 = "Select for Review", ROW('SFA PROCUREMENT TABLE'!$A$73:$A$90)-ROW('SFA PROCUREMENT TABLE'!$A$73)+1 ),  ROWS('SFA PROCUREMENT TABLE'!$A$73:'SFA PROCUREMENT TABLE'!$C76)) ),"")</f>
        <v/>
      </c>
      <c r="Q2" s="769"/>
      <c r="R2" s="769"/>
      <c r="S2" s="769"/>
      <c r="T2" s="84"/>
      <c r="U2" s="768" t="str">
        <f t="array" ref="U2">IFERROR( INDEX('SFA PROCUREMENT TABLE'!$A$73:$A$90,  SMALL( IF('SFA PROCUREMENT TABLE'!$K$73:$K$90 = "Select for Review", ROW('SFA PROCUREMENT TABLE'!$A$73:$A$90)-ROW('SFA PROCUREMENT TABLE'!$A$73)+1 ),  ROWS('SFA PROCUREMENT TABLE'!$A$73:'SFA PROCUREMENT TABLE'!$C77)) ),"")</f>
        <v/>
      </c>
      <c r="V2" s="769"/>
      <c r="W2" s="769"/>
      <c r="X2" s="769"/>
      <c r="Y2" s="84"/>
      <c r="Z2" s="768" t="str">
        <f t="array" ref="Z2">IFERROR( INDEX('SFA PROCUREMENT TABLE'!$A$73:$A$90,  SMALL( IF('SFA PROCUREMENT TABLE'!$K$73:$K$90 = "Select for Review", ROW('SFA PROCUREMENT TABLE'!$A$73:$A$90)-ROW('SFA PROCUREMENT TABLE'!$A$73)+1 ),  ROWS('SFA PROCUREMENT TABLE'!$A$73:'SFA PROCUREMENT TABLE'!$C78)) ),"")</f>
        <v/>
      </c>
      <c r="AA2" s="769"/>
      <c r="AB2" s="769"/>
      <c r="AC2" s="769"/>
      <c r="AD2" s="84"/>
      <c r="AE2" s="85"/>
      <c r="AF2" s="85"/>
      <c r="AG2" s="85"/>
      <c r="AH2" s="85"/>
      <c r="AI2" s="85"/>
      <c r="AJ2" s="85"/>
      <c r="AK2" s="85"/>
      <c r="AL2" s="85"/>
    </row>
    <row r="3" spans="1:38" s="81" customFormat="1" ht="21" x14ac:dyDescent="0.25">
      <c r="A3" s="70" t="s">
        <v>39</v>
      </c>
      <c r="B3" s="70" t="s">
        <v>38</v>
      </c>
      <c r="C3" s="70" t="s">
        <v>231</v>
      </c>
      <c r="D3" s="70" t="s">
        <v>232</v>
      </c>
      <c r="E3" s="79"/>
      <c r="F3" s="70" t="s">
        <v>39</v>
      </c>
      <c r="G3" s="70" t="s">
        <v>38</v>
      </c>
      <c r="H3" s="70" t="s">
        <v>231</v>
      </c>
      <c r="I3" s="70" t="s">
        <v>232</v>
      </c>
      <c r="J3" s="71"/>
      <c r="K3" s="70" t="s">
        <v>39</v>
      </c>
      <c r="L3" s="70" t="s">
        <v>38</v>
      </c>
      <c r="M3" s="70" t="s">
        <v>231</v>
      </c>
      <c r="N3" s="70" t="s">
        <v>232</v>
      </c>
      <c r="O3" s="71"/>
      <c r="P3" s="70" t="s">
        <v>39</v>
      </c>
      <c r="Q3" s="70" t="s">
        <v>38</v>
      </c>
      <c r="R3" s="70" t="s">
        <v>231</v>
      </c>
      <c r="S3" s="70" t="s">
        <v>232</v>
      </c>
      <c r="T3" s="71"/>
      <c r="U3" s="70" t="s">
        <v>39</v>
      </c>
      <c r="V3" s="70" t="s">
        <v>38</v>
      </c>
      <c r="W3" s="70" t="s">
        <v>231</v>
      </c>
      <c r="X3" s="70" t="s">
        <v>232</v>
      </c>
      <c r="Y3" s="71"/>
      <c r="Z3" s="70" t="s">
        <v>39</v>
      </c>
      <c r="AA3" s="70" t="s">
        <v>38</v>
      </c>
      <c r="AB3" s="70" t="s">
        <v>231</v>
      </c>
      <c r="AC3" s="70" t="s">
        <v>232</v>
      </c>
      <c r="AD3" s="79"/>
      <c r="AE3" s="80"/>
      <c r="AF3" s="80"/>
      <c r="AG3" s="80"/>
      <c r="AH3" s="80"/>
      <c r="AI3" s="80"/>
      <c r="AJ3" s="80"/>
      <c r="AK3" s="80"/>
      <c r="AL3" s="80"/>
    </row>
    <row r="4" spans="1:38" s="83" customFormat="1" ht="15.75" x14ac:dyDescent="0.25">
      <c r="A4" s="56" t="str">
        <f t="array" ref="A4">IF($A$2 &lt;&gt; "",IFERROR(INDEX('FORMAL PROCUREMENT (IFB &amp; RFP)'!$B$7:$B$34,SMALL(IF('FORMAL PROCUREMENT (IFB &amp; RFP)'!$D$6:$I$334=$A$2,ROW('FORMAL PROCUREMENT (IFB &amp; RFP)'!$B$7:$B$34)-ROW('FORMAL PROCUREMENT (IFB &amp; RFP)'!$B$7)+1),ROWS('FORMAL PROCUREMENT (IFB &amp; RFP)'!$B$7:'FORMAL PROCUREMENT (IFB &amp; RFP)'!$B7))),""),"")</f>
        <v/>
      </c>
      <c r="B4" s="56" t="str">
        <f>IFERROR(VLOOKUP(A4,'FORMAL PROCUREMENT (IFB &amp; RFP)'!$B:$J,9,0), "")</f>
        <v/>
      </c>
      <c r="C4" s="63"/>
      <c r="D4" s="63"/>
      <c r="E4" s="75"/>
      <c r="F4" s="56" t="str">
        <f t="array" ref="F4">IF($F$2 &lt;&gt; "",IFERROR(INDEX('FORMAL PROCUREMENT (IFB &amp; RFP)'!$B$7:$B$34,SMALL(IF('FORMAL PROCUREMENT (IFB &amp; RFP)'!$D$6:$I$334=$F$2,ROW('FORMAL PROCUREMENT (IFB &amp; RFP)'!$B$7:$B$34)-ROW('FORMAL PROCUREMENT (IFB &amp; RFP)'!$B$7)+1),ROWS('FORMAL PROCUREMENT (IFB &amp; RFP)'!$B$7:'FORMAL PROCUREMENT (IFB &amp; RFP)'!$B7))),""),"")</f>
        <v/>
      </c>
      <c r="G4" s="56" t="str">
        <f>IFERROR(VLOOKUP(F4,'FORMAL PROCUREMENT (IFB &amp; RFP)'!$B:$J,9,0), "")</f>
        <v/>
      </c>
      <c r="H4" s="63"/>
      <c r="I4" s="63"/>
      <c r="J4" s="75"/>
      <c r="K4" s="56" t="str">
        <f t="array" ref="K4">IF($K$2 &lt;&gt; "",IFERROR(INDEX('FORMAL PROCUREMENT (IFB &amp; RFP)'!$B$7:$B$34,SMALL(IF('FORMAL PROCUREMENT (IFB &amp; RFP)'!$D$6:$I$334=$K$2,ROW('FORMAL PROCUREMENT (IFB &amp; RFP)'!$B$7:$B$34)-ROW('FORMAL PROCUREMENT (IFB &amp; RFP)'!$B$7)+1),ROWS('FORMAL PROCUREMENT (IFB &amp; RFP)'!$B$7:'FORMAL PROCUREMENT (IFB &amp; RFP)'!$B7))),""),"")</f>
        <v/>
      </c>
      <c r="L4" s="56" t="str">
        <f>IFERROR(VLOOKUP(K4,'FORMAL PROCUREMENT (IFB &amp; RFP)'!$B:$J,9,0), "")</f>
        <v/>
      </c>
      <c r="M4" s="63"/>
      <c r="N4" s="63"/>
      <c r="O4" s="75"/>
      <c r="P4" s="56" t="str">
        <f t="array" ref="P4">IF($P$2 &lt;&gt; "",IFERROR(INDEX('FORMAL PROCUREMENT (IFB &amp; RFP)'!$B$7:$B$34,SMALL(IF('FORMAL PROCUREMENT (IFB &amp; RFP)'!$D$6:$I$334=$P$2,ROW('FORMAL PROCUREMENT (IFB &amp; RFP)'!$B$7:$B$34)-ROW('FORMAL PROCUREMENT (IFB &amp; RFP)'!$B$7)+1),ROWS('FORMAL PROCUREMENT (IFB &amp; RFP)'!$B$7:'FORMAL PROCUREMENT (IFB &amp; RFP)'!$B7))),""),"")</f>
        <v/>
      </c>
      <c r="Q4" s="56" t="str">
        <f>IFERROR(VLOOKUP(P4,'FORMAL PROCUREMENT (IFB &amp; RFP)'!$B:$J,9,0), "")</f>
        <v/>
      </c>
      <c r="R4" s="63"/>
      <c r="S4" s="63"/>
      <c r="T4" s="75"/>
      <c r="U4" s="56" t="str">
        <f t="array" ref="U4">IF($U$2 &lt;&gt; "",IFERROR(INDEX('FORMAL PROCUREMENT (IFB &amp; RFP)'!$B$7:$B$34,SMALL(IF('FORMAL PROCUREMENT (IFB &amp; RFP)'!$D$6:$I$334=$U$2,ROW('FORMAL PROCUREMENT (IFB &amp; RFP)'!$B$7:$B$34)-ROW('FORMAL PROCUREMENT (IFB &amp; RFP)'!$B$7)+1),ROWS('FORMAL PROCUREMENT (IFB &amp; RFP)'!$B$7:'FORMAL PROCUREMENT (IFB &amp; RFP)'!$B7))),""),"")</f>
        <v/>
      </c>
      <c r="V4" s="56" t="str">
        <f>IFERROR(VLOOKUP(U4,'FORMAL PROCUREMENT (IFB &amp; RFP)'!$B:$J,9,0), "")</f>
        <v/>
      </c>
      <c r="W4" s="63"/>
      <c r="X4" s="63"/>
      <c r="Y4" s="75"/>
      <c r="Z4" s="56" t="str">
        <f t="array" ref="Z4">IF($Z$2 &lt;&gt; "",IFERROR(INDEX('FORMAL PROCUREMENT (IFB &amp; RFP)'!$B$7:$B$34,SMALL(IF('FORMAL PROCUREMENT (IFB &amp; RFP)'!$D$6:$I$334=$Z$2,ROW('FORMAL PROCUREMENT (IFB &amp; RFP)'!$B$7:$B$34)-ROW('FORMAL PROCUREMENT (IFB &amp; RFP)'!$B$7)+1),ROWS('FORMAL PROCUREMENT (IFB &amp; RFP)'!$B$7:'FORMAL PROCUREMENT (IFB &amp; RFP)'!$B7))),""),"")</f>
        <v/>
      </c>
      <c r="AA4" s="56" t="str">
        <f>IFERROR(VLOOKUP(Z4,'FORMAL PROCUREMENT (IFB &amp; RFP)'!$B:$J,9,0), "")</f>
        <v/>
      </c>
      <c r="AB4" s="63"/>
      <c r="AC4" s="63"/>
      <c r="AD4" s="75"/>
      <c r="AE4" s="82"/>
      <c r="AF4" s="82"/>
      <c r="AG4" s="82"/>
      <c r="AH4" s="82"/>
      <c r="AI4" s="82"/>
      <c r="AJ4" s="82"/>
      <c r="AK4" s="82"/>
      <c r="AL4" s="82"/>
    </row>
    <row r="5" spans="1:38" s="83" customFormat="1" ht="15.75" x14ac:dyDescent="0.25">
      <c r="A5" s="56" t="str">
        <f t="array" ref="A5">IF($A$2 &lt;&gt; "",IFERROR(INDEX('FORMAL PROCUREMENT (IFB &amp; RFP)'!$B$7:$B$34,SMALL(IF('FORMAL PROCUREMENT (IFB &amp; RFP)'!$D$6:$I$334=$A$2,ROW('FORMAL PROCUREMENT (IFB &amp; RFP)'!$B$7:$B$34)-ROW('FORMAL PROCUREMENT (IFB &amp; RFP)'!$B$7)+1),ROWS('FORMAL PROCUREMENT (IFB &amp; RFP)'!$B$7:'FORMAL PROCUREMENT (IFB &amp; RFP)'!$B8))),""),"")</f>
        <v/>
      </c>
      <c r="B5" s="56" t="str">
        <f>IFERROR(VLOOKUP(A5,'FORMAL PROCUREMENT (IFB &amp; RFP)'!$B:$J,9,0), "")</f>
        <v/>
      </c>
      <c r="C5" s="63"/>
      <c r="D5" s="63"/>
      <c r="E5" s="75"/>
      <c r="F5" s="56" t="str">
        <f t="array" ref="F5">IF($F$2 &lt;&gt; "",IFERROR(INDEX('FORMAL PROCUREMENT (IFB &amp; RFP)'!$B$7:$B$34,SMALL(IF('FORMAL PROCUREMENT (IFB &amp; RFP)'!$D$6:$I$334=$F$2,ROW('FORMAL PROCUREMENT (IFB &amp; RFP)'!$B$7:$B$34)-ROW('FORMAL PROCUREMENT (IFB &amp; RFP)'!$B$7)+1),ROWS('FORMAL PROCUREMENT (IFB &amp; RFP)'!$B$7:'FORMAL PROCUREMENT (IFB &amp; RFP)'!$B8))),""),"")</f>
        <v/>
      </c>
      <c r="G5" s="56" t="str">
        <f>IFERROR(VLOOKUP(F5,'FORMAL PROCUREMENT (IFB &amp; RFP)'!$B:$J,9,0), "")</f>
        <v/>
      </c>
      <c r="H5" s="63"/>
      <c r="I5" s="63"/>
      <c r="J5" s="75"/>
      <c r="K5" s="56" t="str">
        <f t="array" ref="K5">IF($K$2 &lt;&gt; "",IFERROR(INDEX('FORMAL PROCUREMENT (IFB &amp; RFP)'!$B$7:$B$34,SMALL(IF('FORMAL PROCUREMENT (IFB &amp; RFP)'!$D$6:$I$334=$K$2,ROW('FORMAL PROCUREMENT (IFB &amp; RFP)'!$B$7:$B$34)-ROW('FORMAL PROCUREMENT (IFB &amp; RFP)'!$B$7)+1),ROWS('FORMAL PROCUREMENT (IFB &amp; RFP)'!$B$7:'FORMAL PROCUREMENT (IFB &amp; RFP)'!$B8))),""),"")</f>
        <v/>
      </c>
      <c r="L5" s="56" t="str">
        <f>IFERROR(VLOOKUP(K5,'FORMAL PROCUREMENT (IFB &amp; RFP)'!$B:$J,9,0), "")</f>
        <v/>
      </c>
      <c r="M5" s="63"/>
      <c r="N5" s="63"/>
      <c r="O5" s="75"/>
      <c r="P5" s="56" t="str">
        <f t="array" ref="P5">IF($P$2 &lt;&gt; "",IFERROR(INDEX('FORMAL PROCUREMENT (IFB &amp; RFP)'!$B$7:$B$34,SMALL(IF('FORMAL PROCUREMENT (IFB &amp; RFP)'!$D$6:$I$334=$P$2,ROW('FORMAL PROCUREMENT (IFB &amp; RFP)'!$B$7:$B$34)-ROW('FORMAL PROCUREMENT (IFB &amp; RFP)'!$B$7)+1),ROWS('FORMAL PROCUREMENT (IFB &amp; RFP)'!$B$7:'FORMAL PROCUREMENT (IFB &amp; RFP)'!$B8))),""),"")</f>
        <v/>
      </c>
      <c r="Q5" s="56" t="str">
        <f>IFERROR(VLOOKUP(P5,'FORMAL PROCUREMENT (IFB &amp; RFP)'!$B:$J,9,0), "")</f>
        <v/>
      </c>
      <c r="R5" s="63"/>
      <c r="S5" s="63"/>
      <c r="T5" s="75"/>
      <c r="U5" s="56" t="str">
        <f t="array" ref="U5">IF($U$2 &lt;&gt; "",IFERROR(INDEX('FORMAL PROCUREMENT (IFB &amp; RFP)'!$B$7:$B$34,SMALL(IF('FORMAL PROCUREMENT (IFB &amp; RFP)'!$D$6:$I$334=$U$2,ROW('FORMAL PROCUREMENT (IFB &amp; RFP)'!$B$7:$B$34)-ROW('FORMAL PROCUREMENT (IFB &amp; RFP)'!$B$7)+1),ROWS('FORMAL PROCUREMENT (IFB &amp; RFP)'!$B$7:'FORMAL PROCUREMENT (IFB &amp; RFP)'!$B8))),""),"")</f>
        <v/>
      </c>
      <c r="V5" s="56" t="str">
        <f>IFERROR(VLOOKUP(U5,'FORMAL PROCUREMENT (IFB &amp; RFP)'!$B:$J,9,0), "")</f>
        <v/>
      </c>
      <c r="W5" s="63"/>
      <c r="X5" s="63"/>
      <c r="Y5" s="75"/>
      <c r="Z5" s="56" t="str">
        <f t="array" ref="Z5">IF($Z$2 &lt;&gt; "",IFERROR(INDEX('FORMAL PROCUREMENT (IFB &amp; RFP)'!$B$7:$B$34,SMALL(IF('FORMAL PROCUREMENT (IFB &amp; RFP)'!$D$6:$I$334=$Z$2,ROW('FORMAL PROCUREMENT (IFB &amp; RFP)'!$B$7:$B$34)-ROW('FORMAL PROCUREMENT (IFB &amp; RFP)'!$B$7)+1),ROWS('FORMAL PROCUREMENT (IFB &amp; RFP)'!$B$7:'FORMAL PROCUREMENT (IFB &amp; RFP)'!$B8))),""),"")</f>
        <v/>
      </c>
      <c r="AA5" s="56" t="str">
        <f>IFERROR(VLOOKUP(Z5,'FORMAL PROCUREMENT (IFB &amp; RFP)'!$B:$J,9,0), "")</f>
        <v/>
      </c>
      <c r="AB5" s="63"/>
      <c r="AC5" s="63"/>
      <c r="AD5" s="75"/>
      <c r="AE5" s="82"/>
      <c r="AF5" s="82"/>
      <c r="AG5" s="82"/>
      <c r="AH5" s="82"/>
      <c r="AI5" s="82"/>
      <c r="AJ5" s="82"/>
      <c r="AK5" s="82"/>
      <c r="AL5" s="82"/>
    </row>
    <row r="6" spans="1:38" s="83" customFormat="1" ht="15.75" x14ac:dyDescent="0.25">
      <c r="A6" s="56" t="str">
        <f t="array" ref="A6">IF($A$2 &lt;&gt; "",IFERROR(INDEX('FORMAL PROCUREMENT (IFB &amp; RFP)'!$B$7:$B$34,SMALL(IF('FORMAL PROCUREMENT (IFB &amp; RFP)'!$D$6:$I$334=$A$2,ROW('FORMAL PROCUREMENT (IFB &amp; RFP)'!$B$7:$B$34)-ROW('FORMAL PROCUREMENT (IFB &amp; RFP)'!$B$7)+1),ROWS('FORMAL PROCUREMENT (IFB &amp; RFP)'!$B$7:'FORMAL PROCUREMENT (IFB &amp; RFP)'!$B9))),""),"")</f>
        <v/>
      </c>
      <c r="B6" s="56" t="str">
        <f>IFERROR(VLOOKUP(A6,'FORMAL PROCUREMENT (IFB &amp; RFP)'!$B:$J,9,0), "")</f>
        <v/>
      </c>
      <c r="C6" s="63"/>
      <c r="D6" s="63"/>
      <c r="E6" s="75"/>
      <c r="F6" s="56" t="str">
        <f t="array" ref="F6">IF($F$2 &lt;&gt; "",IFERROR(INDEX('FORMAL PROCUREMENT (IFB &amp; RFP)'!$B$7:$B$34,SMALL(IF('FORMAL PROCUREMENT (IFB &amp; RFP)'!$D$6:$I$334=$F$2,ROW('FORMAL PROCUREMENT (IFB &amp; RFP)'!$B$7:$B$34)-ROW('FORMAL PROCUREMENT (IFB &amp; RFP)'!$B$7)+1),ROWS('FORMAL PROCUREMENT (IFB &amp; RFP)'!$B$7:'FORMAL PROCUREMENT (IFB &amp; RFP)'!$B9))),""),"")</f>
        <v/>
      </c>
      <c r="G6" s="56" t="str">
        <f>IFERROR(VLOOKUP(F6,'FORMAL PROCUREMENT (IFB &amp; RFP)'!$B:$J,9,0), "")</f>
        <v/>
      </c>
      <c r="H6" s="63"/>
      <c r="I6" s="63"/>
      <c r="J6" s="75"/>
      <c r="K6" s="56" t="str">
        <f t="array" ref="K6">IF($K$2 &lt;&gt; "",IFERROR(INDEX('FORMAL PROCUREMENT (IFB &amp; RFP)'!$B$7:$B$34,SMALL(IF('FORMAL PROCUREMENT (IFB &amp; RFP)'!$D$6:$I$334=$K$2,ROW('FORMAL PROCUREMENT (IFB &amp; RFP)'!$B$7:$B$34)-ROW('FORMAL PROCUREMENT (IFB &amp; RFP)'!$B$7)+1),ROWS('FORMAL PROCUREMENT (IFB &amp; RFP)'!$B$7:'FORMAL PROCUREMENT (IFB &amp; RFP)'!$A9))),""),"")</f>
        <v/>
      </c>
      <c r="L6" s="56" t="str">
        <f>IFERROR(VLOOKUP(K6,'FORMAL PROCUREMENT (IFB &amp; RFP)'!$B:$J,9,0), "")</f>
        <v/>
      </c>
      <c r="M6" s="63"/>
      <c r="N6" s="63"/>
      <c r="O6" s="75"/>
      <c r="P6" s="56" t="str">
        <f t="array" ref="P6">IF($P$2 &lt;&gt; "",IFERROR(INDEX('FORMAL PROCUREMENT (IFB &amp; RFP)'!$B$7:$B$34,SMALL(IF('FORMAL PROCUREMENT (IFB &amp; RFP)'!$D$6:$I$334=$P$2,ROW('FORMAL PROCUREMENT (IFB &amp; RFP)'!$B$7:$B$34)-ROW('FORMAL PROCUREMENT (IFB &amp; RFP)'!$B$7)+1),ROWS('FORMAL PROCUREMENT (IFB &amp; RFP)'!$B$7:'FORMAL PROCUREMENT (IFB &amp; RFP)'!$A9))),""),"")</f>
        <v/>
      </c>
      <c r="Q6" s="56" t="str">
        <f>IFERROR(VLOOKUP(P6,'FORMAL PROCUREMENT (IFB &amp; RFP)'!$B:$J,9,0), "")</f>
        <v/>
      </c>
      <c r="R6" s="63"/>
      <c r="S6" s="63"/>
      <c r="T6" s="75"/>
      <c r="U6" s="56" t="str">
        <f t="array" ref="U6">IF($U$2 &lt;&gt; "",IFERROR(INDEX('FORMAL PROCUREMENT (IFB &amp; RFP)'!$B$7:$B$34,SMALL(IF('FORMAL PROCUREMENT (IFB &amp; RFP)'!$D$6:$I$334=$U$2,ROW('FORMAL PROCUREMENT (IFB &amp; RFP)'!$B$7:$B$34)-ROW('FORMAL PROCUREMENT (IFB &amp; RFP)'!$B$7)+1),ROWS('FORMAL PROCUREMENT (IFB &amp; RFP)'!$B$7:'FORMAL PROCUREMENT (IFB &amp; RFP)'!$A9))),""),"")</f>
        <v/>
      </c>
      <c r="V6" s="56" t="str">
        <f>IFERROR(VLOOKUP(U6,'FORMAL PROCUREMENT (IFB &amp; RFP)'!$B:$J,9,0), "")</f>
        <v/>
      </c>
      <c r="W6" s="63"/>
      <c r="X6" s="63"/>
      <c r="Y6" s="75"/>
      <c r="Z6" s="56" t="str">
        <f t="array" ref="Z6">IF($Z$2 &lt;&gt; "",IFERROR(INDEX('FORMAL PROCUREMENT (IFB &amp; RFP)'!$B$7:$B$34,SMALL(IF('FORMAL PROCUREMENT (IFB &amp; RFP)'!$D$6:$I$334=$Z$2,ROW('FORMAL PROCUREMENT (IFB &amp; RFP)'!$B$7:$B$34)-ROW('FORMAL PROCUREMENT (IFB &amp; RFP)'!$B$7)+1),ROWS('FORMAL PROCUREMENT (IFB &amp; RFP)'!$B$7:'FORMAL PROCUREMENT (IFB &amp; RFP)'!$A9))),""),"")</f>
        <v/>
      </c>
      <c r="AA6" s="56" t="str">
        <f>IFERROR(VLOOKUP(Z6,'FORMAL PROCUREMENT (IFB &amp; RFP)'!$B:$J,9,0), "")</f>
        <v/>
      </c>
      <c r="AB6" s="63"/>
      <c r="AC6" s="63"/>
      <c r="AD6" s="75"/>
      <c r="AE6" s="82"/>
      <c r="AF6" s="82"/>
      <c r="AG6" s="82"/>
      <c r="AH6" s="82"/>
      <c r="AI6" s="82"/>
      <c r="AJ6" s="82"/>
      <c r="AK6" s="82"/>
      <c r="AL6" s="82"/>
    </row>
    <row r="7" spans="1:38" s="83" customFormat="1" ht="15.75" x14ac:dyDescent="0.25">
      <c r="A7" s="56" t="str">
        <f t="array" ref="A7">IF($A$2 &lt;&gt; "",IFERROR(INDEX('FORMAL PROCUREMENT (IFB &amp; RFP)'!$B$7:$B$34,SMALL(IF('FORMAL PROCUREMENT (IFB &amp; RFP)'!$D$6:$I$334=$A$2,ROW('FORMAL PROCUREMENT (IFB &amp; RFP)'!$B$7:$B$34)-ROW('FORMAL PROCUREMENT (IFB &amp; RFP)'!$B$7)+1),ROWS('FORMAL PROCUREMENT (IFB &amp; RFP)'!$B$7:'FORMAL PROCUREMENT (IFB &amp; RFP)'!$B10))),""),"")</f>
        <v/>
      </c>
      <c r="B7" s="56" t="str">
        <f>IFERROR(VLOOKUP(A7,'FORMAL PROCUREMENT (IFB &amp; RFP)'!$B:$J,9,0), "")</f>
        <v/>
      </c>
      <c r="C7" s="63"/>
      <c r="D7" s="63"/>
      <c r="E7" s="75"/>
      <c r="F7" s="56" t="str">
        <f t="array" ref="F7">IF($F$2 &lt;&gt; "",IFERROR(INDEX('FORMAL PROCUREMENT (IFB &amp; RFP)'!$B$7:$B$34,SMALL(IF('FORMAL PROCUREMENT (IFB &amp; RFP)'!$D$6:$I$334=$F$2,ROW('FORMAL PROCUREMENT (IFB &amp; RFP)'!$B$7:$B$34)-ROW('FORMAL PROCUREMENT (IFB &amp; RFP)'!$B$7)+1),ROWS('FORMAL PROCUREMENT (IFB &amp; RFP)'!$B$7:'FORMAL PROCUREMENT (IFB &amp; RFP)'!$B10))),""),"")</f>
        <v/>
      </c>
      <c r="G7" s="56" t="str">
        <f>IFERROR(VLOOKUP(F7,'FORMAL PROCUREMENT (IFB &amp; RFP)'!$B:$J,9,0), "")</f>
        <v/>
      </c>
      <c r="H7" s="63"/>
      <c r="I7" s="63"/>
      <c r="J7" s="75"/>
      <c r="K7" s="56" t="str">
        <f t="array" ref="K7">IF($K$2 &lt;&gt; "",IFERROR(INDEX('FORMAL PROCUREMENT (IFB &amp; RFP)'!$B$7:$B$34,SMALL(IF('FORMAL PROCUREMENT (IFB &amp; RFP)'!$D$6:$I$334=$K$2,ROW('FORMAL PROCUREMENT (IFB &amp; RFP)'!$B$7:$B$34)-ROW('FORMAL PROCUREMENT (IFB &amp; RFP)'!$B$7)+1),ROWS('FORMAL PROCUREMENT (IFB &amp; RFP)'!$B$7:'FORMAL PROCUREMENT (IFB &amp; RFP)'!$B10))),""),"")</f>
        <v/>
      </c>
      <c r="L7" s="56" t="str">
        <f>IFERROR(VLOOKUP(K7,'FORMAL PROCUREMENT (IFB &amp; RFP)'!$B:$J,9,0), "")</f>
        <v/>
      </c>
      <c r="M7" s="63"/>
      <c r="N7" s="63"/>
      <c r="O7" s="75"/>
      <c r="P7" s="56" t="str">
        <f t="array" ref="P7">IF($P$2 &lt;&gt; "",IFERROR(INDEX('FORMAL PROCUREMENT (IFB &amp; RFP)'!$B$7:$B$34,SMALL(IF('FORMAL PROCUREMENT (IFB &amp; RFP)'!$D$6:$I$334=$P$2,ROW('FORMAL PROCUREMENT (IFB &amp; RFP)'!$B$7:$B$34)-ROW('FORMAL PROCUREMENT (IFB &amp; RFP)'!$B$7)+1),ROWS('FORMAL PROCUREMENT (IFB &amp; RFP)'!$B$7:'FORMAL PROCUREMENT (IFB &amp; RFP)'!$B10))),""),"")</f>
        <v/>
      </c>
      <c r="Q7" s="56" t="str">
        <f>IFERROR(VLOOKUP(P7,'FORMAL PROCUREMENT (IFB &amp; RFP)'!$B:$J,9,0), "")</f>
        <v/>
      </c>
      <c r="R7" s="63"/>
      <c r="S7" s="63"/>
      <c r="T7" s="75"/>
      <c r="U7" s="56" t="str">
        <f t="array" ref="U7">IF($U$2 &lt;&gt; "",IFERROR(INDEX('FORMAL PROCUREMENT (IFB &amp; RFP)'!$B$7:$B$34,SMALL(IF('FORMAL PROCUREMENT (IFB &amp; RFP)'!$D$6:$I$334=$U$2,ROW('FORMAL PROCUREMENT (IFB &amp; RFP)'!$B$7:$B$34)-ROW('FORMAL PROCUREMENT (IFB &amp; RFP)'!$B$7)+1),ROWS('FORMAL PROCUREMENT (IFB &amp; RFP)'!$B$7:'FORMAL PROCUREMENT (IFB &amp; RFP)'!$B10))),""),"")</f>
        <v/>
      </c>
      <c r="V7" s="56" t="str">
        <f>IFERROR(VLOOKUP(U7,'FORMAL PROCUREMENT (IFB &amp; RFP)'!$B:$J,9,0), "")</f>
        <v/>
      </c>
      <c r="W7" s="63"/>
      <c r="X7" s="63"/>
      <c r="Y7" s="75"/>
      <c r="Z7" s="56" t="str">
        <f t="array" ref="Z7">IF($Z$2 &lt;&gt; "",IFERROR(INDEX('FORMAL PROCUREMENT (IFB &amp; RFP)'!$B$7:$B$34,SMALL(IF('FORMAL PROCUREMENT (IFB &amp; RFP)'!$D$6:$I$334=$Z$2,ROW('FORMAL PROCUREMENT (IFB &amp; RFP)'!$B$7:$B$34)-ROW('FORMAL PROCUREMENT (IFB &amp; RFP)'!$B$7)+1),ROWS('FORMAL PROCUREMENT (IFB &amp; RFP)'!$B$7:'FORMAL PROCUREMENT (IFB &amp; RFP)'!$B10))),""),"")</f>
        <v/>
      </c>
      <c r="AA7" s="56" t="str">
        <f>IFERROR(VLOOKUP(Z7,'FORMAL PROCUREMENT (IFB &amp; RFP)'!$B:$J,9,0), "")</f>
        <v/>
      </c>
      <c r="AB7" s="63"/>
      <c r="AC7" s="63"/>
      <c r="AD7" s="75"/>
      <c r="AE7" s="82"/>
      <c r="AF7" s="82"/>
      <c r="AG7" s="82"/>
      <c r="AH7" s="82"/>
      <c r="AI7" s="82"/>
      <c r="AJ7" s="82"/>
      <c r="AK7" s="82"/>
      <c r="AL7" s="82"/>
    </row>
    <row r="8" spans="1:38" s="83" customFormat="1" ht="15.75" x14ac:dyDescent="0.25">
      <c r="A8" s="56" t="str">
        <f t="array" ref="A8">IF($A$2 &lt;&gt; "",IFERROR(INDEX('FORMAL PROCUREMENT (IFB &amp; RFP)'!$B$7:$B$34,SMALL(IF('FORMAL PROCUREMENT (IFB &amp; RFP)'!$D$6:$I$334=$A$2,ROW('FORMAL PROCUREMENT (IFB &amp; RFP)'!$B$7:$B$34)-ROW('FORMAL PROCUREMENT (IFB &amp; RFP)'!$B$7)+1),ROWS('FORMAL PROCUREMENT (IFB &amp; RFP)'!$B$7:'FORMAL PROCUREMENT (IFB &amp; RFP)'!$B11))),""),"")</f>
        <v/>
      </c>
      <c r="B8" s="56" t="str">
        <f>IFERROR(VLOOKUP(A8,'FORMAL PROCUREMENT (IFB &amp; RFP)'!$B:$J,9,0), "")</f>
        <v/>
      </c>
      <c r="C8" s="63"/>
      <c r="D8" s="63"/>
      <c r="E8" s="75"/>
      <c r="F8" s="56" t="str">
        <f t="array" ref="F8">IF($F$2 &lt;&gt; "",IFERROR(INDEX('FORMAL PROCUREMENT (IFB &amp; RFP)'!$B$7:$B$34,SMALL(IF('FORMAL PROCUREMENT (IFB &amp; RFP)'!$D$6:$I$334=$F$2,ROW('FORMAL PROCUREMENT (IFB &amp; RFP)'!$B$7:$B$34)-ROW('FORMAL PROCUREMENT (IFB &amp; RFP)'!$B$7)+1),ROWS('FORMAL PROCUREMENT (IFB &amp; RFP)'!$B$7:'FORMAL PROCUREMENT (IFB &amp; RFP)'!$B11))),""),"")</f>
        <v/>
      </c>
      <c r="G8" s="56" t="str">
        <f>IFERROR(VLOOKUP(F8,'FORMAL PROCUREMENT (IFB &amp; RFP)'!$B:$J,9,0), "")</f>
        <v/>
      </c>
      <c r="H8" s="63"/>
      <c r="I8" s="63"/>
      <c r="J8" s="75"/>
      <c r="K8" s="56" t="str">
        <f t="array" ref="K8">IF($K$2 &lt;&gt; "",IFERROR(INDEX('FORMAL PROCUREMENT (IFB &amp; RFP)'!$B$7:$B$34,SMALL(IF('FORMAL PROCUREMENT (IFB &amp; RFP)'!$D$6:$I$334=$K$2,ROW('FORMAL PROCUREMENT (IFB &amp; RFP)'!$B$7:$B$34)-ROW('FORMAL PROCUREMENT (IFB &amp; RFP)'!$B$7)+1),ROWS('FORMAL PROCUREMENT (IFB &amp; RFP)'!$B$7:'FORMAL PROCUREMENT (IFB &amp; RFP)'!$B11))),""),"")</f>
        <v/>
      </c>
      <c r="L8" s="56" t="str">
        <f>IFERROR(VLOOKUP(K8,'FORMAL PROCUREMENT (IFB &amp; RFP)'!$B:$J,9,0), "")</f>
        <v/>
      </c>
      <c r="M8" s="63"/>
      <c r="N8" s="63"/>
      <c r="O8" s="75"/>
      <c r="P8" s="56" t="str">
        <f t="array" ref="P8">IF($P$2 &lt;&gt; "",IFERROR(INDEX('FORMAL PROCUREMENT (IFB &amp; RFP)'!$B$7:$B$34,SMALL(IF('FORMAL PROCUREMENT (IFB &amp; RFP)'!$D$6:$I$334=$P$2,ROW('FORMAL PROCUREMENT (IFB &amp; RFP)'!$B$7:$B$34)-ROW('FORMAL PROCUREMENT (IFB &amp; RFP)'!$B$7)+1),ROWS('FORMAL PROCUREMENT (IFB &amp; RFP)'!$B$7:'FORMAL PROCUREMENT (IFB &amp; RFP)'!$B11))),""),"")</f>
        <v/>
      </c>
      <c r="Q8" s="56" t="str">
        <f>IFERROR(VLOOKUP(P8,'FORMAL PROCUREMENT (IFB &amp; RFP)'!$B:$J,9,0), "")</f>
        <v/>
      </c>
      <c r="R8" s="63"/>
      <c r="S8" s="63"/>
      <c r="T8" s="75"/>
      <c r="U8" s="56" t="str">
        <f t="array" ref="U8">IF($U$2 &lt;&gt; "",IFERROR(INDEX('FORMAL PROCUREMENT (IFB &amp; RFP)'!$B$7:$B$34,SMALL(IF('FORMAL PROCUREMENT (IFB &amp; RFP)'!$D$6:$I$334=$U$2,ROW('FORMAL PROCUREMENT (IFB &amp; RFP)'!$B$7:$B$34)-ROW('FORMAL PROCUREMENT (IFB &amp; RFP)'!$B$7)+1),ROWS('FORMAL PROCUREMENT (IFB &amp; RFP)'!$B$7:'FORMAL PROCUREMENT (IFB &amp; RFP)'!$B11))),""),"")</f>
        <v/>
      </c>
      <c r="V8" s="56" t="str">
        <f>IFERROR(VLOOKUP(U8,'FORMAL PROCUREMENT (IFB &amp; RFP)'!$B:$J,9,0), "")</f>
        <v/>
      </c>
      <c r="W8" s="63"/>
      <c r="X8" s="63"/>
      <c r="Y8" s="75"/>
      <c r="Z8" s="56" t="str">
        <f t="array" ref="Z8">IF($Z$2 &lt;&gt; "",IFERROR(INDEX('FORMAL PROCUREMENT (IFB &amp; RFP)'!$B$7:$B$34,SMALL(IF('FORMAL PROCUREMENT (IFB &amp; RFP)'!$D$6:$I$334=$Z$2,ROW('FORMAL PROCUREMENT (IFB &amp; RFP)'!$B$7:$B$34)-ROW('FORMAL PROCUREMENT (IFB &amp; RFP)'!$B$7)+1),ROWS('FORMAL PROCUREMENT (IFB &amp; RFP)'!$B$7:'FORMAL PROCUREMENT (IFB &amp; RFP)'!$B11))),""),"")</f>
        <v/>
      </c>
      <c r="AA8" s="56" t="str">
        <f>IFERROR(VLOOKUP(Z8,'FORMAL PROCUREMENT (IFB &amp; RFP)'!$B:$J,9,0), "")</f>
        <v/>
      </c>
      <c r="AB8" s="63"/>
      <c r="AC8" s="63"/>
      <c r="AD8" s="75"/>
      <c r="AE8" s="82"/>
      <c r="AF8" s="82"/>
      <c r="AG8" s="82"/>
      <c r="AH8" s="82"/>
      <c r="AI8" s="82"/>
      <c r="AJ8" s="82"/>
      <c r="AK8" s="82"/>
      <c r="AL8" s="82"/>
    </row>
    <row r="9" spans="1:38" s="83" customFormat="1" ht="15.75" x14ac:dyDescent="0.25">
      <c r="A9" s="56" t="str">
        <f t="array" ref="A9">IF($A$2 &lt;&gt; "",IFERROR(INDEX('FORMAL PROCUREMENT (IFB &amp; RFP)'!$B$7:$B$34,SMALL(IF('FORMAL PROCUREMENT (IFB &amp; RFP)'!$D$6:$I$334=$A$2,ROW('FORMAL PROCUREMENT (IFB &amp; RFP)'!$B$7:$B$34)-ROW('FORMAL PROCUREMENT (IFB &amp; RFP)'!$B$7)+1),ROWS('FORMAL PROCUREMENT (IFB &amp; RFP)'!$B$7:'FORMAL PROCUREMENT (IFB &amp; RFP)'!$B12))),""),"")</f>
        <v/>
      </c>
      <c r="B9" s="56" t="str">
        <f>IFERROR(VLOOKUP(A9,'FORMAL PROCUREMENT (IFB &amp; RFP)'!$B:$J,9,0), "")</f>
        <v/>
      </c>
      <c r="C9" s="63"/>
      <c r="D9" s="63"/>
      <c r="E9" s="75"/>
      <c r="F9" s="56" t="str">
        <f t="array" ref="F9">IF($F$2 &lt;&gt; "",IFERROR(INDEX('FORMAL PROCUREMENT (IFB &amp; RFP)'!$B$7:$B$34,SMALL(IF('FORMAL PROCUREMENT (IFB &amp; RFP)'!$D$6:$I$334=$F$2,ROW('FORMAL PROCUREMENT (IFB &amp; RFP)'!$B$7:$B$34)-ROW('FORMAL PROCUREMENT (IFB &amp; RFP)'!$B$7)+1),ROWS('FORMAL PROCUREMENT (IFB &amp; RFP)'!$B$7:'FORMAL PROCUREMENT (IFB &amp; RFP)'!$B12))),""),"")</f>
        <v/>
      </c>
      <c r="G9" s="56" t="str">
        <f>IFERROR(VLOOKUP(F9,'FORMAL PROCUREMENT (IFB &amp; RFP)'!$B:$J,9,0), "")</f>
        <v/>
      </c>
      <c r="H9" s="63"/>
      <c r="I9" s="63"/>
      <c r="J9" s="75"/>
      <c r="K9" s="56" t="str">
        <f t="array" ref="K9">IF($K$2 &lt;&gt; "",IFERROR(INDEX('FORMAL PROCUREMENT (IFB &amp; RFP)'!$B$7:$B$34,SMALL(IF('FORMAL PROCUREMENT (IFB &amp; RFP)'!$D$6:$I$334=$K$2,ROW('FORMAL PROCUREMENT (IFB &amp; RFP)'!$B$7:$B$34)-ROW('FORMAL PROCUREMENT (IFB &amp; RFP)'!$B$7)+1),ROWS('FORMAL PROCUREMENT (IFB &amp; RFP)'!$B$7:'FORMAL PROCUREMENT (IFB &amp; RFP)'!$B12))),""),"")</f>
        <v/>
      </c>
      <c r="L9" s="56" t="str">
        <f>IFERROR(VLOOKUP(K9,'FORMAL PROCUREMENT (IFB &amp; RFP)'!$B:$J,9,0), "")</f>
        <v/>
      </c>
      <c r="M9" s="63"/>
      <c r="N9" s="63"/>
      <c r="O9" s="75"/>
      <c r="P9" s="56" t="str">
        <f t="array" ref="P9">IF($P$2 &lt;&gt; "",IFERROR(INDEX('FORMAL PROCUREMENT (IFB &amp; RFP)'!$B$7:$B$34,SMALL(IF('FORMAL PROCUREMENT (IFB &amp; RFP)'!$D$6:$I$334=$P$2,ROW('FORMAL PROCUREMENT (IFB &amp; RFP)'!$B$7:$B$34)-ROW('FORMAL PROCUREMENT (IFB &amp; RFP)'!$B$7)+1),ROWS('FORMAL PROCUREMENT (IFB &amp; RFP)'!$B$7:'FORMAL PROCUREMENT (IFB &amp; RFP)'!$B12))),""),"")</f>
        <v/>
      </c>
      <c r="Q9" s="56" t="str">
        <f>IFERROR(VLOOKUP(P9,'FORMAL PROCUREMENT (IFB &amp; RFP)'!$B:$J,9,0), "")</f>
        <v/>
      </c>
      <c r="R9" s="63"/>
      <c r="S9" s="63"/>
      <c r="T9" s="75"/>
      <c r="U9" s="56" t="str">
        <f t="array" ref="U9">IF($U$2 &lt;&gt; "",IFERROR(INDEX('FORMAL PROCUREMENT (IFB &amp; RFP)'!$B$7:$B$34,SMALL(IF('FORMAL PROCUREMENT (IFB &amp; RFP)'!$D$6:$I$334=$U$2,ROW('FORMAL PROCUREMENT (IFB &amp; RFP)'!$B$7:$B$34)-ROW('FORMAL PROCUREMENT (IFB &amp; RFP)'!$B$7)+1),ROWS('FORMAL PROCUREMENT (IFB &amp; RFP)'!$B$7:'FORMAL PROCUREMENT (IFB &amp; RFP)'!$B12))),""),"")</f>
        <v/>
      </c>
      <c r="V9" s="56" t="str">
        <f>IFERROR(VLOOKUP(U9,'FORMAL PROCUREMENT (IFB &amp; RFP)'!$B:$J,9,0), "")</f>
        <v/>
      </c>
      <c r="W9" s="63"/>
      <c r="X9" s="63"/>
      <c r="Y9" s="75"/>
      <c r="Z9" s="56" t="str">
        <f t="array" ref="Z9">IF($Z$2 &lt;&gt; "",IFERROR(INDEX('FORMAL PROCUREMENT (IFB &amp; RFP)'!$B$7:$B$34,SMALL(IF('FORMAL PROCUREMENT (IFB &amp; RFP)'!$D$6:$I$334=$Z$2,ROW('FORMAL PROCUREMENT (IFB &amp; RFP)'!$B$7:$B$34)-ROW('FORMAL PROCUREMENT (IFB &amp; RFP)'!$B$7)+1),ROWS('FORMAL PROCUREMENT (IFB &amp; RFP)'!$B$7:'FORMAL PROCUREMENT (IFB &amp; RFP)'!$B12))),""),"")</f>
        <v/>
      </c>
      <c r="AA9" s="56" t="str">
        <f>IFERROR(VLOOKUP(Z9,'FORMAL PROCUREMENT (IFB &amp; RFP)'!$B:$J,9,0), "")</f>
        <v/>
      </c>
      <c r="AB9" s="63"/>
      <c r="AC9" s="63"/>
      <c r="AD9" s="75"/>
      <c r="AE9" s="82"/>
      <c r="AF9" s="82"/>
      <c r="AG9" s="82"/>
      <c r="AH9" s="82"/>
      <c r="AI9" s="82"/>
      <c r="AJ9" s="82"/>
      <c r="AK9" s="82"/>
      <c r="AL9" s="82"/>
    </row>
    <row r="10" spans="1:38" s="83" customFormat="1" ht="15.75" x14ac:dyDescent="0.25">
      <c r="A10" s="56" t="str">
        <f t="array" ref="A10">IF($A$2 &lt;&gt; "",IFERROR(INDEX('FORMAL PROCUREMENT (IFB &amp; RFP)'!$B$7:$B$34,SMALL(IF('FORMAL PROCUREMENT (IFB &amp; RFP)'!$D$6:$I$334=$A$2,ROW('FORMAL PROCUREMENT (IFB &amp; RFP)'!$B$7:$B$34)-ROW('FORMAL PROCUREMENT (IFB &amp; RFP)'!$B$7)+1),ROWS('FORMAL PROCUREMENT (IFB &amp; RFP)'!$B$7:'FORMAL PROCUREMENT (IFB &amp; RFP)'!$B13))),""),"")</f>
        <v/>
      </c>
      <c r="B10" s="56" t="str">
        <f>IFERROR(VLOOKUP(A10,'FORMAL PROCUREMENT (IFB &amp; RFP)'!$B:$J,9,0), "")</f>
        <v/>
      </c>
      <c r="C10" s="63"/>
      <c r="D10" s="63"/>
      <c r="E10" s="75"/>
      <c r="F10" s="56" t="str">
        <f t="array" ref="F10">IF($F$2 &lt;&gt; "",IFERROR(INDEX('FORMAL PROCUREMENT (IFB &amp; RFP)'!$B$7:$B$34,SMALL(IF('FORMAL PROCUREMENT (IFB &amp; RFP)'!$D$6:$I$334=$F$2,ROW('FORMAL PROCUREMENT (IFB &amp; RFP)'!$B$7:$B$34)-ROW('FORMAL PROCUREMENT (IFB &amp; RFP)'!$B$7)+1),ROWS('FORMAL PROCUREMENT (IFB &amp; RFP)'!$B$7:'FORMAL PROCUREMENT (IFB &amp; RFP)'!$B13))),""),"")</f>
        <v/>
      </c>
      <c r="G10" s="56" t="str">
        <f>IFERROR(VLOOKUP(F10,'FORMAL PROCUREMENT (IFB &amp; RFP)'!$B:$J,9,0), "")</f>
        <v/>
      </c>
      <c r="H10" s="63"/>
      <c r="I10" s="63"/>
      <c r="J10" s="75"/>
      <c r="K10" s="56" t="str">
        <f t="array" ref="K10">IF($K$2 &lt;&gt; "",IFERROR(INDEX('FORMAL PROCUREMENT (IFB &amp; RFP)'!$B$7:$B$34,SMALL(IF('FORMAL PROCUREMENT (IFB &amp; RFP)'!$D$6:$I$334=$K$2,ROW('FORMAL PROCUREMENT (IFB &amp; RFP)'!$B$7:$B$34)-ROW('FORMAL PROCUREMENT (IFB &amp; RFP)'!$B$7)+1),ROWS('FORMAL PROCUREMENT (IFB &amp; RFP)'!$B$7:'FORMAL PROCUREMENT (IFB &amp; RFP)'!$B13))),""),"")</f>
        <v/>
      </c>
      <c r="L10" s="56" t="str">
        <f>IFERROR(VLOOKUP(K10,'FORMAL PROCUREMENT (IFB &amp; RFP)'!$B:$J,9,0), "")</f>
        <v/>
      </c>
      <c r="M10" s="63"/>
      <c r="N10" s="63"/>
      <c r="O10" s="75"/>
      <c r="P10" s="56" t="str">
        <f t="array" ref="P10">IF($P$2 &lt;&gt; "",IFERROR(INDEX('FORMAL PROCUREMENT (IFB &amp; RFP)'!$B$7:$B$34,SMALL(IF('FORMAL PROCUREMENT (IFB &amp; RFP)'!$D$6:$I$334=$P$2,ROW('FORMAL PROCUREMENT (IFB &amp; RFP)'!$B$7:$B$34)-ROW('FORMAL PROCUREMENT (IFB &amp; RFP)'!$B$7)+1),ROWS('FORMAL PROCUREMENT (IFB &amp; RFP)'!$B$7:'FORMAL PROCUREMENT (IFB &amp; RFP)'!$B13))),""),"")</f>
        <v/>
      </c>
      <c r="Q10" s="56" t="str">
        <f>IFERROR(VLOOKUP(P10,'FORMAL PROCUREMENT (IFB &amp; RFP)'!$B:$J,9,0), "")</f>
        <v/>
      </c>
      <c r="R10" s="63"/>
      <c r="S10" s="63"/>
      <c r="T10" s="75"/>
      <c r="U10" s="56" t="str">
        <f t="array" ref="U10">IF($U$2 &lt;&gt; "",IFERROR(INDEX('FORMAL PROCUREMENT (IFB &amp; RFP)'!$B$7:$B$34,SMALL(IF('FORMAL PROCUREMENT (IFB &amp; RFP)'!$D$6:$I$334=$U$2,ROW('FORMAL PROCUREMENT (IFB &amp; RFP)'!$B$7:$B$34)-ROW('FORMAL PROCUREMENT (IFB &amp; RFP)'!$B$7)+1),ROWS('FORMAL PROCUREMENT (IFB &amp; RFP)'!$B$7:'FORMAL PROCUREMENT (IFB &amp; RFP)'!$B13))),""),"")</f>
        <v/>
      </c>
      <c r="V10" s="56" t="str">
        <f>IFERROR(VLOOKUP(U10,'FORMAL PROCUREMENT (IFB &amp; RFP)'!$B:$J,9,0), "")</f>
        <v/>
      </c>
      <c r="W10" s="63"/>
      <c r="X10" s="63"/>
      <c r="Y10" s="75"/>
      <c r="Z10" s="56" t="str">
        <f t="array" ref="Z10">IF($Z$2 &lt;&gt; "",IFERROR(INDEX('FORMAL PROCUREMENT (IFB &amp; RFP)'!$B$7:$B$34,SMALL(IF('FORMAL PROCUREMENT (IFB &amp; RFP)'!$D$6:$I$334=$Z$2,ROW('FORMAL PROCUREMENT (IFB &amp; RFP)'!$B$7:$B$34)-ROW('FORMAL PROCUREMENT (IFB &amp; RFP)'!$B$7)+1),ROWS('FORMAL PROCUREMENT (IFB &amp; RFP)'!$B$7:'FORMAL PROCUREMENT (IFB &amp; RFP)'!$B13))),""),"")</f>
        <v/>
      </c>
      <c r="AA10" s="56" t="str">
        <f>IFERROR(VLOOKUP(Z10,'FORMAL PROCUREMENT (IFB &amp; RFP)'!$B:$J,9,0), "")</f>
        <v/>
      </c>
      <c r="AB10" s="63"/>
      <c r="AC10" s="63"/>
      <c r="AD10" s="75"/>
      <c r="AE10" s="82"/>
      <c r="AF10" s="82"/>
      <c r="AG10" s="82"/>
      <c r="AH10" s="82"/>
      <c r="AI10" s="82"/>
      <c r="AJ10" s="82"/>
      <c r="AK10" s="82"/>
      <c r="AL10" s="82"/>
    </row>
    <row r="11" spans="1:38" s="83" customFormat="1" ht="15.75" x14ac:dyDescent="0.25">
      <c r="A11" s="56" t="str">
        <f t="array" ref="A11">IF($A$2 &lt;&gt; "",IFERROR(INDEX('FORMAL PROCUREMENT (IFB &amp; RFP)'!$B$7:$B$34,SMALL(IF('FORMAL PROCUREMENT (IFB &amp; RFP)'!$D$6:$I$334=$A$2,ROW('FORMAL PROCUREMENT (IFB &amp; RFP)'!$B$7:$B$34)-ROW('FORMAL PROCUREMENT (IFB &amp; RFP)'!$B$7)+1),ROWS('FORMAL PROCUREMENT (IFB &amp; RFP)'!$B$7:'FORMAL PROCUREMENT (IFB &amp; RFP)'!$B14))),""),"")</f>
        <v/>
      </c>
      <c r="B11" s="56" t="str">
        <f>IFERROR(VLOOKUP(A11,'FORMAL PROCUREMENT (IFB &amp; RFP)'!$B:$J,9,0), "")</f>
        <v/>
      </c>
      <c r="C11" s="63"/>
      <c r="D11" s="63"/>
      <c r="E11" s="75"/>
      <c r="F11" s="56" t="str">
        <f t="array" ref="F11">IF($F$2 &lt;&gt; "",IFERROR(INDEX('FORMAL PROCUREMENT (IFB &amp; RFP)'!$B$7:$B$34,SMALL(IF('FORMAL PROCUREMENT (IFB &amp; RFP)'!$D$6:$I$334=$F$2,ROW('FORMAL PROCUREMENT (IFB &amp; RFP)'!$B$7:$B$34)-ROW('FORMAL PROCUREMENT (IFB &amp; RFP)'!$B$7)+1),ROWS('FORMAL PROCUREMENT (IFB &amp; RFP)'!$B$7:'FORMAL PROCUREMENT (IFB &amp; RFP)'!$B14))),""),"")</f>
        <v/>
      </c>
      <c r="G11" s="56" t="str">
        <f>IFERROR(VLOOKUP(F11,'FORMAL PROCUREMENT (IFB &amp; RFP)'!$B:$J,9,0), "")</f>
        <v/>
      </c>
      <c r="H11" s="63"/>
      <c r="I11" s="63"/>
      <c r="J11" s="75"/>
      <c r="K11" s="56" t="str">
        <f t="array" ref="K11">IF($K$2 &lt;&gt; "",IFERROR(INDEX('FORMAL PROCUREMENT (IFB &amp; RFP)'!$B$7:$B$34,SMALL(IF('FORMAL PROCUREMENT (IFB &amp; RFP)'!$D$6:$I$334=$K$2,ROW('FORMAL PROCUREMENT (IFB &amp; RFP)'!$B$7:$B$34)-ROW('FORMAL PROCUREMENT (IFB &amp; RFP)'!$B$7)+1),ROWS('FORMAL PROCUREMENT (IFB &amp; RFP)'!$B$7:'FORMAL PROCUREMENT (IFB &amp; RFP)'!$B14))),""),"")</f>
        <v/>
      </c>
      <c r="L11" s="56" t="str">
        <f>IFERROR(VLOOKUP(K11,'FORMAL PROCUREMENT (IFB &amp; RFP)'!$B:$J,9,0), "")</f>
        <v/>
      </c>
      <c r="M11" s="63"/>
      <c r="N11" s="63"/>
      <c r="O11" s="75"/>
      <c r="P11" s="56" t="str">
        <f t="array" ref="P11">IF($P$2 &lt;&gt; "",IFERROR(INDEX('FORMAL PROCUREMENT (IFB &amp; RFP)'!$B$7:$B$34,SMALL(IF('FORMAL PROCUREMENT (IFB &amp; RFP)'!$D$6:$I$334=$P$2,ROW('FORMAL PROCUREMENT (IFB &amp; RFP)'!$B$7:$B$34)-ROW('FORMAL PROCUREMENT (IFB &amp; RFP)'!$B$7)+1),ROWS('FORMAL PROCUREMENT (IFB &amp; RFP)'!$B$7:'FORMAL PROCUREMENT (IFB &amp; RFP)'!$B14))),""),"")</f>
        <v/>
      </c>
      <c r="Q11" s="56" t="str">
        <f>IFERROR(VLOOKUP(P11,'FORMAL PROCUREMENT (IFB &amp; RFP)'!$B:$J,9,0), "")</f>
        <v/>
      </c>
      <c r="R11" s="63"/>
      <c r="S11" s="63"/>
      <c r="T11" s="75"/>
      <c r="U11" s="56" t="str">
        <f t="array" ref="U11">IF($U$2 &lt;&gt; "",IFERROR(INDEX('FORMAL PROCUREMENT (IFB &amp; RFP)'!$B$7:$B$34,SMALL(IF('FORMAL PROCUREMENT (IFB &amp; RFP)'!$D$6:$I$334=$U$2,ROW('FORMAL PROCUREMENT (IFB &amp; RFP)'!$B$7:$B$34)-ROW('FORMAL PROCUREMENT (IFB &amp; RFP)'!$B$7)+1),ROWS('FORMAL PROCUREMENT (IFB &amp; RFP)'!$B$7:'FORMAL PROCUREMENT (IFB &amp; RFP)'!$B14))),""),"")</f>
        <v/>
      </c>
      <c r="V11" s="56" t="str">
        <f>IFERROR(VLOOKUP(U11,'FORMAL PROCUREMENT (IFB &amp; RFP)'!$B:$J,9,0), "")</f>
        <v/>
      </c>
      <c r="W11" s="63"/>
      <c r="X11" s="63"/>
      <c r="Y11" s="75"/>
      <c r="Z11" s="56" t="str">
        <f t="array" ref="Z11">IF($Z$2 &lt;&gt; "",IFERROR(INDEX('FORMAL PROCUREMENT (IFB &amp; RFP)'!$B$7:$B$34,SMALL(IF('FORMAL PROCUREMENT (IFB &amp; RFP)'!$D$6:$I$334=$Z$2,ROW('FORMAL PROCUREMENT (IFB &amp; RFP)'!$B$7:$B$34)-ROW('FORMAL PROCUREMENT (IFB &amp; RFP)'!$B$7)+1),ROWS('FORMAL PROCUREMENT (IFB &amp; RFP)'!$B$7:'FORMAL PROCUREMENT (IFB &amp; RFP)'!$B14))),""),"")</f>
        <v/>
      </c>
      <c r="AA11" s="56" t="str">
        <f>IFERROR(VLOOKUP(Z11,'FORMAL PROCUREMENT (IFB &amp; RFP)'!$B:$J,9,0), "")</f>
        <v/>
      </c>
      <c r="AB11" s="63"/>
      <c r="AC11" s="63"/>
      <c r="AD11" s="75"/>
      <c r="AE11" s="82"/>
      <c r="AF11" s="82"/>
      <c r="AG11" s="82"/>
      <c r="AH11" s="82"/>
      <c r="AI11" s="82"/>
      <c r="AJ11" s="82"/>
      <c r="AK11" s="82"/>
      <c r="AL11" s="82"/>
    </row>
    <row r="12" spans="1:38" s="83" customFormat="1" ht="15.75" x14ac:dyDescent="0.25">
      <c r="A12" s="56" t="str">
        <f t="array" ref="A12">IF($A$2 &lt;&gt; "",IFERROR(INDEX('FORMAL PROCUREMENT (IFB &amp; RFP)'!$B$7:$B$34,SMALL(IF('FORMAL PROCUREMENT (IFB &amp; RFP)'!$D$6:$I$334=$A$2,ROW('FORMAL PROCUREMENT (IFB &amp; RFP)'!$B$7:$B$34)-ROW('FORMAL PROCUREMENT (IFB &amp; RFP)'!$B$7)+1),ROWS('FORMAL PROCUREMENT (IFB &amp; RFP)'!$B$7:'FORMAL PROCUREMENT (IFB &amp; RFP)'!$B15))),""),"")</f>
        <v/>
      </c>
      <c r="B12" s="56" t="str">
        <f>IFERROR(VLOOKUP(A12,'FORMAL PROCUREMENT (IFB &amp; RFP)'!$B:$J,9,0), "")</f>
        <v/>
      </c>
      <c r="C12" s="63"/>
      <c r="D12" s="63"/>
      <c r="E12" s="75"/>
      <c r="F12" s="56" t="str">
        <f t="array" ref="F12">IF($F$2 &lt;&gt; "",IFERROR(INDEX('FORMAL PROCUREMENT (IFB &amp; RFP)'!$B$7:$B$34,SMALL(IF('FORMAL PROCUREMENT (IFB &amp; RFP)'!$D$6:$I$334=$F$2,ROW('FORMAL PROCUREMENT (IFB &amp; RFP)'!$B$7:$B$34)-ROW('FORMAL PROCUREMENT (IFB &amp; RFP)'!$B$7)+1),ROWS('FORMAL PROCUREMENT (IFB &amp; RFP)'!$B$7:'FORMAL PROCUREMENT (IFB &amp; RFP)'!$B15))),""),"")</f>
        <v/>
      </c>
      <c r="G12" s="56" t="str">
        <f>IFERROR(VLOOKUP(F12,'FORMAL PROCUREMENT (IFB &amp; RFP)'!$B:$J,9,0), "")</f>
        <v/>
      </c>
      <c r="H12" s="63"/>
      <c r="I12" s="63"/>
      <c r="J12" s="75"/>
      <c r="K12" s="56" t="str">
        <f t="array" ref="K12">IF($K$2 &lt;&gt; "",IFERROR(INDEX('FORMAL PROCUREMENT (IFB &amp; RFP)'!$B$7:$B$34,SMALL(IF('FORMAL PROCUREMENT (IFB &amp; RFP)'!$D$6:$I$334=$K$2,ROW('FORMAL PROCUREMENT (IFB &amp; RFP)'!$B$7:$B$34)-ROW('FORMAL PROCUREMENT (IFB &amp; RFP)'!$B$7)+1),ROWS('FORMAL PROCUREMENT (IFB &amp; RFP)'!$B$7:'FORMAL PROCUREMENT (IFB &amp; RFP)'!$B15))),""),"")</f>
        <v/>
      </c>
      <c r="L12" s="56" t="str">
        <f>IFERROR(VLOOKUP(K12,'FORMAL PROCUREMENT (IFB &amp; RFP)'!$B:$J,9,0), "")</f>
        <v/>
      </c>
      <c r="M12" s="63"/>
      <c r="N12" s="63"/>
      <c r="O12" s="75"/>
      <c r="P12" s="56" t="str">
        <f t="array" ref="P12">IF($P$2 &lt;&gt; "",IFERROR(INDEX('FORMAL PROCUREMENT (IFB &amp; RFP)'!$B$7:$B$34,SMALL(IF('FORMAL PROCUREMENT (IFB &amp; RFP)'!$D$6:$I$334=$P$2,ROW('FORMAL PROCUREMENT (IFB &amp; RFP)'!$B$7:$B$34)-ROW('FORMAL PROCUREMENT (IFB &amp; RFP)'!$B$7)+1),ROWS('FORMAL PROCUREMENT (IFB &amp; RFP)'!$B$7:'FORMAL PROCUREMENT (IFB &amp; RFP)'!$B15))),""),"")</f>
        <v/>
      </c>
      <c r="Q12" s="56" t="str">
        <f>IFERROR(VLOOKUP(P12,'FORMAL PROCUREMENT (IFB &amp; RFP)'!$B:$J,9,0), "")</f>
        <v/>
      </c>
      <c r="R12" s="63"/>
      <c r="S12" s="63"/>
      <c r="T12" s="75"/>
      <c r="U12" s="56" t="str">
        <f t="array" ref="U12">IF($U$2 &lt;&gt; "",IFERROR(INDEX('FORMAL PROCUREMENT (IFB &amp; RFP)'!$B$7:$B$34,SMALL(IF('FORMAL PROCUREMENT (IFB &amp; RFP)'!$D$6:$I$334=$U$2,ROW('FORMAL PROCUREMENT (IFB &amp; RFP)'!$B$7:$B$34)-ROW('FORMAL PROCUREMENT (IFB &amp; RFP)'!$B$7)+1),ROWS('FORMAL PROCUREMENT (IFB &amp; RFP)'!$B$7:'FORMAL PROCUREMENT (IFB &amp; RFP)'!$B15))),""),"")</f>
        <v/>
      </c>
      <c r="V12" s="56" t="str">
        <f>IFERROR(VLOOKUP(U12,'FORMAL PROCUREMENT (IFB &amp; RFP)'!$B:$J,9,0), "")</f>
        <v/>
      </c>
      <c r="W12" s="63"/>
      <c r="X12" s="63"/>
      <c r="Y12" s="75"/>
      <c r="Z12" s="56" t="str">
        <f t="array" ref="Z12">IF($Z$2 &lt;&gt; "",IFERROR(INDEX('FORMAL PROCUREMENT (IFB &amp; RFP)'!$B$7:$B$34,SMALL(IF('FORMAL PROCUREMENT (IFB &amp; RFP)'!$D$6:$I$334=$Z$2,ROW('FORMAL PROCUREMENT (IFB &amp; RFP)'!$B$7:$B$34)-ROW('FORMAL PROCUREMENT (IFB &amp; RFP)'!$B$7)+1),ROWS('FORMAL PROCUREMENT (IFB &amp; RFP)'!$B$7:'FORMAL PROCUREMENT (IFB &amp; RFP)'!$B15))),""),"")</f>
        <v/>
      </c>
      <c r="AA12" s="56" t="str">
        <f>IFERROR(VLOOKUP(Z12,'FORMAL PROCUREMENT (IFB &amp; RFP)'!$B:$J,9,0), "")</f>
        <v/>
      </c>
      <c r="AB12" s="63"/>
      <c r="AC12" s="63"/>
      <c r="AD12" s="75"/>
      <c r="AE12" s="82"/>
      <c r="AF12" s="82"/>
      <c r="AG12" s="82"/>
      <c r="AH12" s="82"/>
      <c r="AI12" s="82"/>
      <c r="AJ12" s="82"/>
      <c r="AK12" s="82"/>
      <c r="AL12" s="82"/>
    </row>
    <row r="13" spans="1:38" s="83" customFormat="1" ht="15.75" x14ac:dyDescent="0.25">
      <c r="A13" s="56" t="str">
        <f t="array" ref="A13">IF($A$2 &lt;&gt; "",IFERROR(INDEX('FORMAL PROCUREMENT (IFB &amp; RFP)'!$B$7:$B$34,SMALL(IF('FORMAL PROCUREMENT (IFB &amp; RFP)'!$D$6:$I$334=$A$2,ROW('FORMAL PROCUREMENT (IFB &amp; RFP)'!$B$7:$B$34)-ROW('FORMAL PROCUREMENT (IFB &amp; RFP)'!$B$7)+1),ROWS('FORMAL PROCUREMENT (IFB &amp; RFP)'!$B$7:'FORMAL PROCUREMENT (IFB &amp; RFP)'!$B16))),""),"")</f>
        <v/>
      </c>
      <c r="B13" s="56" t="str">
        <f>IFERROR(VLOOKUP(A13,'FORMAL PROCUREMENT (IFB &amp; RFP)'!$B:$J,9,0), "")</f>
        <v/>
      </c>
      <c r="C13" s="63"/>
      <c r="D13" s="63"/>
      <c r="E13" s="75"/>
      <c r="F13" s="56" t="str">
        <f t="array" ref="F13">IF($F$2 &lt;&gt; "",IFERROR(INDEX('FORMAL PROCUREMENT (IFB &amp; RFP)'!$B$7:$B$34,SMALL(IF('FORMAL PROCUREMENT (IFB &amp; RFP)'!$D$6:$I$334=$F$2,ROW('FORMAL PROCUREMENT (IFB &amp; RFP)'!$B$7:$B$34)-ROW('FORMAL PROCUREMENT (IFB &amp; RFP)'!$B$7)+1),ROWS('FORMAL PROCUREMENT (IFB &amp; RFP)'!$B$7:'FORMAL PROCUREMENT (IFB &amp; RFP)'!$B16))),""),"")</f>
        <v/>
      </c>
      <c r="G13" s="56" t="str">
        <f>IFERROR(VLOOKUP(F13,'FORMAL PROCUREMENT (IFB &amp; RFP)'!$B:$J,9,0), "")</f>
        <v/>
      </c>
      <c r="H13" s="63"/>
      <c r="I13" s="63"/>
      <c r="J13" s="75"/>
      <c r="K13" s="56" t="str">
        <f t="array" ref="K13">IF($K$2 &lt;&gt; "",IFERROR(INDEX('FORMAL PROCUREMENT (IFB &amp; RFP)'!$B$7:$B$34,SMALL(IF('FORMAL PROCUREMENT (IFB &amp; RFP)'!$D$6:$I$334=$K$2,ROW('FORMAL PROCUREMENT (IFB &amp; RFP)'!$B$7:$B$34)-ROW('FORMAL PROCUREMENT (IFB &amp; RFP)'!$B$7)+1),ROWS('FORMAL PROCUREMENT (IFB &amp; RFP)'!$B$7:'FORMAL PROCUREMENT (IFB &amp; RFP)'!$B16))),""),"")</f>
        <v/>
      </c>
      <c r="L13" s="56" t="str">
        <f>IFERROR(VLOOKUP(K13,'FORMAL PROCUREMENT (IFB &amp; RFP)'!$B:$J,9,0), "")</f>
        <v/>
      </c>
      <c r="M13" s="63"/>
      <c r="N13" s="63"/>
      <c r="O13" s="75"/>
      <c r="P13" s="56" t="str">
        <f t="array" ref="P13">IF($P$2 &lt;&gt; "",IFERROR(INDEX('FORMAL PROCUREMENT (IFB &amp; RFP)'!$B$7:$B$34,SMALL(IF('FORMAL PROCUREMENT (IFB &amp; RFP)'!$D$6:$I$334=$P$2,ROW('FORMAL PROCUREMENT (IFB &amp; RFP)'!$B$7:$B$34)-ROW('FORMAL PROCUREMENT (IFB &amp; RFP)'!$B$7)+1),ROWS('FORMAL PROCUREMENT (IFB &amp; RFP)'!$B$7:'FORMAL PROCUREMENT (IFB &amp; RFP)'!$B16))),""),"")</f>
        <v/>
      </c>
      <c r="Q13" s="56" t="str">
        <f>IFERROR(VLOOKUP(P13,'FORMAL PROCUREMENT (IFB &amp; RFP)'!$B:$J,9,0), "")</f>
        <v/>
      </c>
      <c r="R13" s="63"/>
      <c r="S13" s="63"/>
      <c r="T13" s="75"/>
      <c r="U13" s="56" t="str">
        <f t="array" ref="U13">IF($U$2 &lt;&gt; "",IFERROR(INDEX('FORMAL PROCUREMENT (IFB &amp; RFP)'!$B$7:$B$34,SMALL(IF('FORMAL PROCUREMENT (IFB &amp; RFP)'!$D$6:$I$334=$U$2,ROW('FORMAL PROCUREMENT (IFB &amp; RFP)'!$B$7:$B$34)-ROW('FORMAL PROCUREMENT (IFB &amp; RFP)'!$B$7)+1),ROWS('FORMAL PROCUREMENT (IFB &amp; RFP)'!$B$7:'FORMAL PROCUREMENT (IFB &amp; RFP)'!$B16))),""),"")</f>
        <v/>
      </c>
      <c r="V13" s="56" t="str">
        <f>IFERROR(VLOOKUP(U13,'FORMAL PROCUREMENT (IFB &amp; RFP)'!$B:$J,9,0), "")</f>
        <v/>
      </c>
      <c r="W13" s="63"/>
      <c r="X13" s="63"/>
      <c r="Y13" s="75"/>
      <c r="Z13" s="56" t="str">
        <f t="array" ref="Z13">IF($Z$2 &lt;&gt; "",IFERROR(INDEX('FORMAL PROCUREMENT (IFB &amp; RFP)'!$B$7:$B$34,SMALL(IF('FORMAL PROCUREMENT (IFB &amp; RFP)'!$D$6:$I$334=$Z$2,ROW('FORMAL PROCUREMENT (IFB &amp; RFP)'!$B$7:$B$34)-ROW('FORMAL PROCUREMENT (IFB &amp; RFP)'!$B$7)+1),ROWS('FORMAL PROCUREMENT (IFB &amp; RFP)'!$B$7:'FORMAL PROCUREMENT (IFB &amp; RFP)'!$B16))),""),"")</f>
        <v/>
      </c>
      <c r="AA13" s="56" t="str">
        <f>IFERROR(VLOOKUP(Z13,'FORMAL PROCUREMENT (IFB &amp; RFP)'!$B:$J,9,0), "")</f>
        <v/>
      </c>
      <c r="AB13" s="63"/>
      <c r="AC13" s="63"/>
      <c r="AD13" s="75"/>
      <c r="AE13" s="82"/>
      <c r="AF13" s="82"/>
      <c r="AG13" s="82"/>
      <c r="AH13" s="82"/>
      <c r="AI13" s="82"/>
      <c r="AJ13" s="82"/>
      <c r="AK13" s="82"/>
      <c r="AL13" s="82"/>
    </row>
    <row r="14" spans="1:38" s="83" customFormat="1" ht="15.75" x14ac:dyDescent="0.25">
      <c r="A14" s="56" t="str">
        <f t="array" ref="A14">IF($A$2 &lt;&gt; "",IFERROR(INDEX('FORMAL PROCUREMENT (IFB &amp; RFP)'!$B$7:$B$34,SMALL(IF('FORMAL PROCUREMENT (IFB &amp; RFP)'!$D$6:$I$334=$A$2,ROW('FORMAL PROCUREMENT (IFB &amp; RFP)'!$B$7:$B$34)-ROW('FORMAL PROCUREMENT (IFB &amp; RFP)'!$B$7)+1),ROWS('FORMAL PROCUREMENT (IFB &amp; RFP)'!$B$7:'FORMAL PROCUREMENT (IFB &amp; RFP)'!$B17))),""),"")</f>
        <v/>
      </c>
      <c r="B14" s="56" t="str">
        <f>IFERROR(VLOOKUP(A14,'FORMAL PROCUREMENT (IFB &amp; RFP)'!$B:$J,9,0), "")</f>
        <v/>
      </c>
      <c r="C14" s="63"/>
      <c r="D14" s="63"/>
      <c r="E14" s="75"/>
      <c r="F14" s="56" t="str">
        <f t="array" ref="F14">IF($F$2 &lt;&gt; "",IFERROR(INDEX('FORMAL PROCUREMENT (IFB &amp; RFP)'!$B$7:$B$34,SMALL(IF('FORMAL PROCUREMENT (IFB &amp; RFP)'!$D$6:$I$334=$F$2,ROW('FORMAL PROCUREMENT (IFB &amp; RFP)'!$B$7:$B$34)-ROW('FORMAL PROCUREMENT (IFB &amp; RFP)'!$B$7)+1),ROWS('FORMAL PROCUREMENT (IFB &amp; RFP)'!$B$7:'FORMAL PROCUREMENT (IFB &amp; RFP)'!$B17))),""),"")</f>
        <v/>
      </c>
      <c r="G14" s="56" t="str">
        <f>IFERROR(VLOOKUP(F14,'FORMAL PROCUREMENT (IFB &amp; RFP)'!$B:$J,9,0), "")</f>
        <v/>
      </c>
      <c r="H14" s="63"/>
      <c r="I14" s="63"/>
      <c r="J14" s="75"/>
      <c r="K14" s="56" t="str">
        <f t="array" ref="K14">IF($K$2 &lt;&gt; "",IFERROR(INDEX('FORMAL PROCUREMENT (IFB &amp; RFP)'!$B$7:$B$34,SMALL(IF('FORMAL PROCUREMENT (IFB &amp; RFP)'!$D$6:$I$334=$K$2,ROW('FORMAL PROCUREMENT (IFB &amp; RFP)'!$B$7:$B$34)-ROW('FORMAL PROCUREMENT (IFB &amp; RFP)'!$B$7)+1),ROWS('FORMAL PROCUREMENT (IFB &amp; RFP)'!$B$7:'FORMAL PROCUREMENT (IFB &amp; RFP)'!$B17))),""),"")</f>
        <v/>
      </c>
      <c r="L14" s="56" t="str">
        <f>IFERROR(VLOOKUP(K14,'FORMAL PROCUREMENT (IFB &amp; RFP)'!$B:$J,9,0), "")</f>
        <v/>
      </c>
      <c r="M14" s="63"/>
      <c r="N14" s="63"/>
      <c r="O14" s="75"/>
      <c r="P14" s="56" t="str">
        <f t="array" ref="P14">IF($P$2 &lt;&gt; "",IFERROR(INDEX('FORMAL PROCUREMENT (IFB &amp; RFP)'!$B$7:$B$34,SMALL(IF('FORMAL PROCUREMENT (IFB &amp; RFP)'!$D$6:$I$334=$P$2,ROW('FORMAL PROCUREMENT (IFB &amp; RFP)'!$B$7:$B$34)-ROW('FORMAL PROCUREMENT (IFB &amp; RFP)'!$B$7)+1),ROWS('FORMAL PROCUREMENT (IFB &amp; RFP)'!$B$7:'FORMAL PROCUREMENT (IFB &amp; RFP)'!$B17))),""),"")</f>
        <v/>
      </c>
      <c r="Q14" s="56" t="str">
        <f>IFERROR(VLOOKUP(P14,'FORMAL PROCUREMENT (IFB &amp; RFP)'!$B:$J,9,0), "")</f>
        <v/>
      </c>
      <c r="R14" s="63"/>
      <c r="S14" s="63"/>
      <c r="T14" s="75"/>
      <c r="U14" s="56" t="str">
        <f t="array" ref="U14">IF($U$2 &lt;&gt; "",IFERROR(INDEX('FORMAL PROCUREMENT (IFB &amp; RFP)'!$B$7:$B$34,SMALL(IF('FORMAL PROCUREMENT (IFB &amp; RFP)'!$D$6:$I$334=$U$2,ROW('FORMAL PROCUREMENT (IFB &amp; RFP)'!$B$7:$B$34)-ROW('FORMAL PROCUREMENT (IFB &amp; RFP)'!$B$7)+1),ROWS('FORMAL PROCUREMENT (IFB &amp; RFP)'!$B$7:'FORMAL PROCUREMENT (IFB &amp; RFP)'!$B17))),""),"")</f>
        <v/>
      </c>
      <c r="V14" s="56" t="str">
        <f>IFERROR(VLOOKUP(U14,'FORMAL PROCUREMENT (IFB &amp; RFP)'!$B:$J,9,0), "")</f>
        <v/>
      </c>
      <c r="W14" s="63"/>
      <c r="X14" s="63"/>
      <c r="Y14" s="75"/>
      <c r="Z14" s="56" t="str">
        <f t="array" ref="Z14">IF($Z$2 &lt;&gt; "",IFERROR(INDEX('FORMAL PROCUREMENT (IFB &amp; RFP)'!$B$7:$B$34,SMALL(IF('FORMAL PROCUREMENT (IFB &amp; RFP)'!$D$6:$I$334=$Z$2,ROW('FORMAL PROCUREMENT (IFB &amp; RFP)'!$B$7:$B$34)-ROW('FORMAL PROCUREMENT (IFB &amp; RFP)'!$B$7)+1),ROWS('FORMAL PROCUREMENT (IFB &amp; RFP)'!$B$7:'FORMAL PROCUREMENT (IFB &amp; RFP)'!$B17))),""),"")</f>
        <v/>
      </c>
      <c r="AA14" s="56" t="str">
        <f>IFERROR(VLOOKUP(Z14,'FORMAL PROCUREMENT (IFB &amp; RFP)'!$B:$J,9,0), "")</f>
        <v/>
      </c>
      <c r="AB14" s="63"/>
      <c r="AC14" s="63"/>
      <c r="AD14" s="75"/>
      <c r="AE14" s="82"/>
      <c r="AF14" s="82"/>
      <c r="AG14" s="82"/>
      <c r="AH14" s="82"/>
      <c r="AI14" s="82"/>
      <c r="AJ14" s="82"/>
      <c r="AK14" s="82"/>
      <c r="AL14" s="82"/>
    </row>
    <row r="15" spans="1:38" s="83" customFormat="1" ht="15.75" x14ac:dyDescent="0.25">
      <c r="A15" s="56" t="str">
        <f t="array" ref="A15">IF($A$2 &lt;&gt; "",IFERROR(INDEX('FORMAL PROCUREMENT (IFB &amp; RFP)'!$B$7:$B$34,SMALL(IF('FORMAL PROCUREMENT (IFB &amp; RFP)'!$D$6:$I$334=$A$2,ROW('FORMAL PROCUREMENT (IFB &amp; RFP)'!$B$7:$B$34)-ROW('FORMAL PROCUREMENT (IFB &amp; RFP)'!$B$7)+1),ROWS('FORMAL PROCUREMENT (IFB &amp; RFP)'!$B$7:'FORMAL PROCUREMENT (IFB &amp; RFP)'!$B18))),""),"")</f>
        <v/>
      </c>
      <c r="B15" s="56" t="str">
        <f>IFERROR(VLOOKUP(A15,'FORMAL PROCUREMENT (IFB &amp; RFP)'!$B:$J,9,0), "")</f>
        <v/>
      </c>
      <c r="C15" s="63"/>
      <c r="D15" s="63"/>
      <c r="E15" s="75"/>
      <c r="F15" s="56" t="str">
        <f t="array" ref="F15">IF($F$2 &lt;&gt; "",IFERROR(INDEX('FORMAL PROCUREMENT (IFB &amp; RFP)'!$B$7:$B$34,SMALL(IF('FORMAL PROCUREMENT (IFB &amp; RFP)'!$D$6:$I$334=$F$2,ROW('FORMAL PROCUREMENT (IFB &amp; RFP)'!$B$7:$B$34)-ROW('FORMAL PROCUREMENT (IFB &amp; RFP)'!$B$7)+1),ROWS('FORMAL PROCUREMENT (IFB &amp; RFP)'!$B$7:'FORMAL PROCUREMENT (IFB &amp; RFP)'!$B18))),""),"")</f>
        <v/>
      </c>
      <c r="G15" s="56" t="str">
        <f>IFERROR(VLOOKUP(F15,'FORMAL PROCUREMENT (IFB &amp; RFP)'!$B:$J,9,0), "")</f>
        <v/>
      </c>
      <c r="H15" s="63"/>
      <c r="I15" s="63"/>
      <c r="J15" s="75"/>
      <c r="K15" s="56" t="str">
        <f t="array" ref="K15">IF($K$2 &lt;&gt; "",IFERROR(INDEX('FORMAL PROCUREMENT (IFB &amp; RFP)'!$B$7:$B$34,SMALL(IF('FORMAL PROCUREMENT (IFB &amp; RFP)'!$D$6:$I$334=$K$2,ROW('FORMAL PROCUREMENT (IFB &amp; RFP)'!$B$7:$B$34)-ROW('FORMAL PROCUREMENT (IFB &amp; RFP)'!$B$7)+1),ROWS('FORMAL PROCUREMENT (IFB &amp; RFP)'!$B$7:'FORMAL PROCUREMENT (IFB &amp; RFP)'!$B18))),""),"")</f>
        <v/>
      </c>
      <c r="L15" s="56" t="str">
        <f>IFERROR(VLOOKUP(K15,'FORMAL PROCUREMENT (IFB &amp; RFP)'!$B:$J,9,0), "")</f>
        <v/>
      </c>
      <c r="M15" s="63"/>
      <c r="N15" s="63"/>
      <c r="O15" s="75"/>
      <c r="P15" s="56" t="str">
        <f t="array" ref="P15">IF($P$2 &lt;&gt; "",IFERROR(INDEX('FORMAL PROCUREMENT (IFB &amp; RFP)'!$B$7:$B$34,SMALL(IF('FORMAL PROCUREMENT (IFB &amp; RFP)'!$D$6:$I$334=$P$2,ROW('FORMAL PROCUREMENT (IFB &amp; RFP)'!$B$7:$B$34)-ROW('FORMAL PROCUREMENT (IFB &amp; RFP)'!$B$7)+1),ROWS('FORMAL PROCUREMENT (IFB &amp; RFP)'!$B$7:'FORMAL PROCUREMENT (IFB &amp; RFP)'!$B18))),""),"")</f>
        <v/>
      </c>
      <c r="Q15" s="56" t="str">
        <f>IFERROR(VLOOKUP(P15,'FORMAL PROCUREMENT (IFB &amp; RFP)'!$B:$J,9,0), "")</f>
        <v/>
      </c>
      <c r="R15" s="63"/>
      <c r="S15" s="63"/>
      <c r="T15" s="75"/>
      <c r="U15" s="56" t="str">
        <f t="array" ref="U15">IF($U$2 &lt;&gt; "",IFERROR(INDEX('FORMAL PROCUREMENT (IFB &amp; RFP)'!$B$7:$B$34,SMALL(IF('FORMAL PROCUREMENT (IFB &amp; RFP)'!$D$6:$I$334=$U$2,ROW('FORMAL PROCUREMENT (IFB &amp; RFP)'!$B$7:$B$34)-ROW('FORMAL PROCUREMENT (IFB &amp; RFP)'!$B$7)+1),ROWS('FORMAL PROCUREMENT (IFB &amp; RFP)'!$B$7:'FORMAL PROCUREMENT (IFB &amp; RFP)'!$B18))),""),"")</f>
        <v/>
      </c>
      <c r="V15" s="56" t="str">
        <f>IFERROR(VLOOKUP(U15,'FORMAL PROCUREMENT (IFB &amp; RFP)'!$B:$J,9,0), "")</f>
        <v/>
      </c>
      <c r="W15" s="63"/>
      <c r="X15" s="63"/>
      <c r="Y15" s="75"/>
      <c r="Z15" s="56" t="str">
        <f t="array" ref="Z15">IF($Z$2 &lt;&gt; "",IFERROR(INDEX('FORMAL PROCUREMENT (IFB &amp; RFP)'!$B$7:$B$34,SMALL(IF('FORMAL PROCUREMENT (IFB &amp; RFP)'!$D$6:$I$334=$Z$2,ROW('FORMAL PROCUREMENT (IFB &amp; RFP)'!$B$7:$B$34)-ROW('FORMAL PROCUREMENT (IFB &amp; RFP)'!$B$7)+1),ROWS('FORMAL PROCUREMENT (IFB &amp; RFP)'!$B$7:'FORMAL PROCUREMENT (IFB &amp; RFP)'!$B18))),""),"")</f>
        <v/>
      </c>
      <c r="AA15" s="56" t="str">
        <f>IFERROR(VLOOKUP(Z15,'FORMAL PROCUREMENT (IFB &amp; RFP)'!$B:$J,9,0), "")</f>
        <v/>
      </c>
      <c r="AB15" s="63"/>
      <c r="AC15" s="63"/>
      <c r="AD15" s="75"/>
      <c r="AE15" s="82"/>
      <c r="AF15" s="82"/>
      <c r="AG15" s="82"/>
      <c r="AH15" s="82"/>
      <c r="AI15" s="82"/>
      <c r="AJ15" s="82"/>
      <c r="AK15" s="82"/>
      <c r="AL15" s="82"/>
    </row>
    <row r="16" spans="1:38" s="83" customFormat="1" ht="15.75" x14ac:dyDescent="0.25">
      <c r="A16" s="56" t="str">
        <f t="array" ref="A16">IF($A$2 &lt;&gt; "",IFERROR(INDEX('FORMAL PROCUREMENT (IFB &amp; RFP)'!$B$7:$B$34,SMALL(IF('FORMAL PROCUREMENT (IFB &amp; RFP)'!$D$6:$I$334=$A$2,ROW('FORMAL PROCUREMENT (IFB &amp; RFP)'!$B$7:$B$34)-ROW('FORMAL PROCUREMENT (IFB &amp; RFP)'!$B$7)+1),ROWS('FORMAL PROCUREMENT (IFB &amp; RFP)'!$B$7:'FORMAL PROCUREMENT (IFB &amp; RFP)'!$B19))),""),"")</f>
        <v/>
      </c>
      <c r="B16" s="56" t="str">
        <f>IFERROR(VLOOKUP(A16,'FORMAL PROCUREMENT (IFB &amp; RFP)'!$B:$J,9,0), "")</f>
        <v/>
      </c>
      <c r="C16" s="63"/>
      <c r="D16" s="63"/>
      <c r="E16" s="75"/>
      <c r="F16" s="56" t="str">
        <f t="array" ref="F16">IF($F$2 &lt;&gt; "",IFERROR(INDEX('FORMAL PROCUREMENT (IFB &amp; RFP)'!$B$7:$B$34,SMALL(IF('FORMAL PROCUREMENT (IFB &amp; RFP)'!$D$6:$I$334=$F$2,ROW('FORMAL PROCUREMENT (IFB &amp; RFP)'!$B$7:$B$34)-ROW('FORMAL PROCUREMENT (IFB &amp; RFP)'!$B$7)+1),ROWS('FORMAL PROCUREMENT (IFB &amp; RFP)'!$B$7:'FORMAL PROCUREMENT (IFB &amp; RFP)'!$B19))),""),"")</f>
        <v/>
      </c>
      <c r="G16" s="56" t="str">
        <f>IFERROR(VLOOKUP(F16,'FORMAL PROCUREMENT (IFB &amp; RFP)'!$B:$J,9,0), "")</f>
        <v/>
      </c>
      <c r="H16" s="63"/>
      <c r="I16" s="63"/>
      <c r="J16" s="75"/>
      <c r="K16" s="56" t="str">
        <f t="array" ref="K16">IF($K$2 &lt;&gt; "",IFERROR(INDEX('FORMAL PROCUREMENT (IFB &amp; RFP)'!$B$7:$B$34,SMALL(IF('FORMAL PROCUREMENT (IFB &amp; RFP)'!$D$6:$I$334=$K$2,ROW('FORMAL PROCUREMENT (IFB &amp; RFP)'!$B$7:$B$34)-ROW('FORMAL PROCUREMENT (IFB &amp; RFP)'!$B$7)+1),ROWS('FORMAL PROCUREMENT (IFB &amp; RFP)'!$B$7:'FORMAL PROCUREMENT (IFB &amp; RFP)'!$B19))),""),"")</f>
        <v/>
      </c>
      <c r="L16" s="56" t="str">
        <f>IFERROR(VLOOKUP(K16,'FORMAL PROCUREMENT (IFB &amp; RFP)'!$B:$J,9,0), "")</f>
        <v/>
      </c>
      <c r="M16" s="63"/>
      <c r="N16" s="63"/>
      <c r="O16" s="75"/>
      <c r="P16" s="56" t="str">
        <f t="array" ref="P16">IF($P$2 &lt;&gt; "",IFERROR(INDEX('FORMAL PROCUREMENT (IFB &amp; RFP)'!$B$7:$B$34,SMALL(IF('FORMAL PROCUREMENT (IFB &amp; RFP)'!$D$6:$I$334=$P$2,ROW('FORMAL PROCUREMENT (IFB &amp; RFP)'!$B$7:$B$34)-ROW('FORMAL PROCUREMENT (IFB &amp; RFP)'!$B$7)+1),ROWS('FORMAL PROCUREMENT (IFB &amp; RFP)'!$B$7:'FORMAL PROCUREMENT (IFB &amp; RFP)'!$B19))),""),"")</f>
        <v/>
      </c>
      <c r="Q16" s="56" t="str">
        <f>IFERROR(VLOOKUP(P16,'FORMAL PROCUREMENT (IFB &amp; RFP)'!$B:$J,9,0), "")</f>
        <v/>
      </c>
      <c r="R16" s="63"/>
      <c r="S16" s="63"/>
      <c r="T16" s="75"/>
      <c r="U16" s="56" t="str">
        <f t="array" ref="U16">IF($U$2 &lt;&gt; "",IFERROR(INDEX('FORMAL PROCUREMENT (IFB &amp; RFP)'!$B$7:$B$34,SMALL(IF('FORMAL PROCUREMENT (IFB &amp; RFP)'!$D$6:$I$334=$U$2,ROW('FORMAL PROCUREMENT (IFB &amp; RFP)'!$B$7:$B$34)-ROW('FORMAL PROCUREMENT (IFB &amp; RFP)'!$B$7)+1),ROWS('FORMAL PROCUREMENT (IFB &amp; RFP)'!$B$7:'FORMAL PROCUREMENT (IFB &amp; RFP)'!$B19))),""),"")</f>
        <v/>
      </c>
      <c r="V16" s="56" t="str">
        <f>IFERROR(VLOOKUP(U16,'FORMAL PROCUREMENT (IFB &amp; RFP)'!$B:$J,9,0), "")</f>
        <v/>
      </c>
      <c r="W16" s="63"/>
      <c r="X16" s="63"/>
      <c r="Y16" s="75"/>
      <c r="Z16" s="56" t="str">
        <f t="array" ref="Z16">IF($Z$2 &lt;&gt; "",IFERROR(INDEX('FORMAL PROCUREMENT (IFB &amp; RFP)'!$B$7:$B$34,SMALL(IF('FORMAL PROCUREMENT (IFB &amp; RFP)'!$D$6:$I$334=$Z$2,ROW('FORMAL PROCUREMENT (IFB &amp; RFP)'!$B$7:$B$34)-ROW('FORMAL PROCUREMENT (IFB &amp; RFP)'!$B$7)+1),ROWS('FORMAL PROCUREMENT (IFB &amp; RFP)'!$B$7:'FORMAL PROCUREMENT (IFB &amp; RFP)'!$B19))),""),"")</f>
        <v/>
      </c>
      <c r="AA16" s="56" t="str">
        <f>IFERROR(VLOOKUP(Z16,'FORMAL PROCUREMENT (IFB &amp; RFP)'!$B:$J,9,0), "")</f>
        <v/>
      </c>
      <c r="AB16" s="63"/>
      <c r="AC16" s="63"/>
      <c r="AD16" s="75"/>
      <c r="AE16" s="82"/>
      <c r="AF16" s="82"/>
      <c r="AG16" s="82"/>
      <c r="AH16" s="82"/>
      <c r="AI16" s="82"/>
      <c r="AJ16" s="82"/>
      <c r="AK16" s="82"/>
      <c r="AL16" s="82"/>
    </row>
    <row r="17" spans="1:38" s="83" customFormat="1" ht="15.75" x14ac:dyDescent="0.25">
      <c r="A17" s="56" t="str">
        <f t="array" ref="A17">IF($A$2 &lt;&gt; "",IFERROR(INDEX('FORMAL PROCUREMENT (IFB &amp; RFP)'!$B$7:$B$34,SMALL(IF('FORMAL PROCUREMENT (IFB &amp; RFP)'!$D$6:$I$334=$A$2,ROW('FORMAL PROCUREMENT (IFB &amp; RFP)'!$B$7:$B$34)-ROW('FORMAL PROCUREMENT (IFB &amp; RFP)'!$B$7)+1),ROWS('FORMAL PROCUREMENT (IFB &amp; RFP)'!$B$7:'FORMAL PROCUREMENT (IFB &amp; RFP)'!$B20))),""),"")</f>
        <v/>
      </c>
      <c r="B17" s="56" t="str">
        <f>IFERROR(VLOOKUP(A17,'FORMAL PROCUREMENT (IFB &amp; RFP)'!$B:$J,9,0), "")</f>
        <v/>
      </c>
      <c r="C17" s="63"/>
      <c r="D17" s="63"/>
      <c r="E17" s="75"/>
      <c r="F17" s="56" t="str">
        <f t="array" ref="F17">IF($F$2 &lt;&gt; "",IFERROR(INDEX('FORMAL PROCUREMENT (IFB &amp; RFP)'!$B$7:$B$34,SMALL(IF('FORMAL PROCUREMENT (IFB &amp; RFP)'!$D$6:$I$334=$F$2,ROW('FORMAL PROCUREMENT (IFB &amp; RFP)'!$B$7:$B$34)-ROW('FORMAL PROCUREMENT (IFB &amp; RFP)'!$B$7)+1),ROWS('FORMAL PROCUREMENT (IFB &amp; RFP)'!$B$7:'FORMAL PROCUREMENT (IFB &amp; RFP)'!$B20))),""),"")</f>
        <v/>
      </c>
      <c r="G17" s="56" t="str">
        <f>IFERROR(VLOOKUP(F17,'FORMAL PROCUREMENT (IFB &amp; RFP)'!$B:$J,9,0), "")</f>
        <v/>
      </c>
      <c r="H17" s="63"/>
      <c r="I17" s="63"/>
      <c r="J17" s="75"/>
      <c r="K17" s="56" t="str">
        <f t="array" ref="K17">IF($K$2 &lt;&gt; "",IFERROR(INDEX('FORMAL PROCUREMENT (IFB &amp; RFP)'!$B$7:$B$34,SMALL(IF('FORMAL PROCUREMENT (IFB &amp; RFP)'!$D$6:$I$334=$K$2,ROW('FORMAL PROCUREMENT (IFB &amp; RFP)'!$B$7:$B$34)-ROW('FORMAL PROCUREMENT (IFB &amp; RFP)'!$B$7)+1),ROWS('FORMAL PROCUREMENT (IFB &amp; RFP)'!$B$7:'FORMAL PROCUREMENT (IFB &amp; RFP)'!$A20))),""),"")</f>
        <v/>
      </c>
      <c r="L17" s="56" t="str">
        <f>IFERROR(VLOOKUP(K17,'FORMAL PROCUREMENT (IFB &amp; RFP)'!$B:$J,9,0), "")</f>
        <v/>
      </c>
      <c r="M17" s="63"/>
      <c r="N17" s="63"/>
      <c r="O17" s="75"/>
      <c r="P17" s="56" t="str">
        <f t="array" ref="P17">IF($P$2 &lt;&gt; "",IFERROR(INDEX('FORMAL PROCUREMENT (IFB &amp; RFP)'!$B$7:$B$34,SMALL(IF('FORMAL PROCUREMENT (IFB &amp; RFP)'!$D$6:$I$334=$P$2,ROW('FORMAL PROCUREMENT (IFB &amp; RFP)'!$B$7:$B$34)-ROW('FORMAL PROCUREMENT (IFB &amp; RFP)'!$B$7)+1),ROWS('FORMAL PROCUREMENT (IFB &amp; RFP)'!$B$7:'FORMAL PROCUREMENT (IFB &amp; RFP)'!$A20))),""),"")</f>
        <v/>
      </c>
      <c r="Q17" s="56" t="str">
        <f>IFERROR(VLOOKUP(P17,'FORMAL PROCUREMENT (IFB &amp; RFP)'!$B:$J,9,0), "")</f>
        <v/>
      </c>
      <c r="R17" s="63"/>
      <c r="S17" s="63"/>
      <c r="T17" s="75"/>
      <c r="U17" s="56" t="str">
        <f t="array" ref="U17">IF($U$2 &lt;&gt; "",IFERROR(INDEX('FORMAL PROCUREMENT (IFB &amp; RFP)'!$B$7:$B$34,SMALL(IF('FORMAL PROCUREMENT (IFB &amp; RFP)'!$D$6:$I$334=$U$2,ROW('FORMAL PROCUREMENT (IFB &amp; RFP)'!$B$7:$B$34)-ROW('FORMAL PROCUREMENT (IFB &amp; RFP)'!$B$7)+1),ROWS('FORMAL PROCUREMENT (IFB &amp; RFP)'!$B$7:'FORMAL PROCUREMENT (IFB &amp; RFP)'!$A20))),""),"")</f>
        <v/>
      </c>
      <c r="V17" s="56" t="str">
        <f>IFERROR(VLOOKUP(U17,'FORMAL PROCUREMENT (IFB &amp; RFP)'!$B:$J,9,0), "")</f>
        <v/>
      </c>
      <c r="W17" s="63"/>
      <c r="X17" s="63"/>
      <c r="Y17" s="75"/>
      <c r="Z17" s="56" t="str">
        <f t="array" ref="Z17">IF($Z$2 &lt;&gt; "",IFERROR(INDEX('FORMAL PROCUREMENT (IFB &amp; RFP)'!$B$7:$B$34,SMALL(IF('FORMAL PROCUREMENT (IFB &amp; RFP)'!$D$6:$I$334=$Z$2,ROW('FORMAL PROCUREMENT (IFB &amp; RFP)'!$B$7:$B$34)-ROW('FORMAL PROCUREMENT (IFB &amp; RFP)'!$B$7)+1),ROWS('FORMAL PROCUREMENT (IFB &amp; RFP)'!$B$7:'FORMAL PROCUREMENT (IFB &amp; RFP)'!$A20))),""),"")</f>
        <v/>
      </c>
      <c r="AA17" s="56" t="str">
        <f>IFERROR(VLOOKUP(Z17,'FORMAL PROCUREMENT (IFB &amp; RFP)'!$B:$J,9,0), "")</f>
        <v/>
      </c>
      <c r="AB17" s="63"/>
      <c r="AC17" s="63"/>
      <c r="AD17" s="75"/>
      <c r="AE17" s="82"/>
      <c r="AF17" s="82"/>
      <c r="AG17" s="82"/>
      <c r="AH17" s="82"/>
      <c r="AI17" s="82"/>
      <c r="AJ17" s="82"/>
      <c r="AK17" s="82"/>
      <c r="AL17" s="82"/>
    </row>
    <row r="18" spans="1:38" s="83" customFormat="1" ht="15.75" x14ac:dyDescent="0.25">
      <c r="A18" s="56" t="str">
        <f t="array" ref="A18">IF($A$2 &lt;&gt; "",IFERROR(INDEX('FORMAL PROCUREMENT (IFB &amp; RFP)'!$B$7:$B$34,SMALL(IF('FORMAL PROCUREMENT (IFB &amp; RFP)'!$D$6:$I$334=$A$2,ROW('FORMAL PROCUREMENT (IFB &amp; RFP)'!$B$7:$B$34)-ROW('FORMAL PROCUREMENT (IFB &amp; RFP)'!$B$7)+1),ROWS('FORMAL PROCUREMENT (IFB &amp; RFP)'!$B$7:'FORMAL PROCUREMENT (IFB &amp; RFP)'!$B21))),""),"")</f>
        <v/>
      </c>
      <c r="B18" s="56" t="str">
        <f>IFERROR(VLOOKUP(A18,'FORMAL PROCUREMENT (IFB &amp; RFP)'!$B:$J,9,0), "")</f>
        <v/>
      </c>
      <c r="C18" s="63"/>
      <c r="D18" s="63"/>
      <c r="E18" s="75"/>
      <c r="F18" s="56" t="str">
        <f t="array" ref="F18">IF($F$2 &lt;&gt; "",IFERROR(INDEX('FORMAL PROCUREMENT (IFB &amp; RFP)'!$B$7:$B$34,SMALL(IF('FORMAL PROCUREMENT (IFB &amp; RFP)'!$D$6:$I$334=$F$2,ROW('FORMAL PROCUREMENT (IFB &amp; RFP)'!$B$7:$B$34)-ROW('FORMAL PROCUREMENT (IFB &amp; RFP)'!$B$7)+1),ROWS('FORMAL PROCUREMENT (IFB &amp; RFP)'!$B$7:'FORMAL PROCUREMENT (IFB &amp; RFP)'!$B21))),""),"")</f>
        <v/>
      </c>
      <c r="G18" s="56" t="str">
        <f>IFERROR(VLOOKUP(F18,'FORMAL PROCUREMENT (IFB &amp; RFP)'!$B:$J,9,0), "")</f>
        <v/>
      </c>
      <c r="H18" s="63"/>
      <c r="I18" s="63"/>
      <c r="J18" s="75"/>
      <c r="K18" s="56" t="str">
        <f t="array" ref="K18">IF($K$2 &lt;&gt; "",IFERROR(INDEX('FORMAL PROCUREMENT (IFB &amp; RFP)'!$B$7:$B$34,SMALL(IF('FORMAL PROCUREMENT (IFB &amp; RFP)'!$D$6:$I$334=$K$2,ROW('FORMAL PROCUREMENT (IFB &amp; RFP)'!$B$7:$B$34)-ROW('FORMAL PROCUREMENT (IFB &amp; RFP)'!$B$7)+1),ROWS('FORMAL PROCUREMENT (IFB &amp; RFP)'!$B$7:'FORMAL PROCUREMENT (IFB &amp; RFP)'!$B21))),""),"")</f>
        <v/>
      </c>
      <c r="L18" s="56" t="str">
        <f>IFERROR(VLOOKUP(K18,'FORMAL PROCUREMENT (IFB &amp; RFP)'!$B:$J,9,0), "")</f>
        <v/>
      </c>
      <c r="M18" s="63"/>
      <c r="N18" s="63"/>
      <c r="O18" s="75"/>
      <c r="P18" s="56" t="str">
        <f t="array" ref="P18">IF($P$2 &lt;&gt; "",IFERROR(INDEX('FORMAL PROCUREMENT (IFB &amp; RFP)'!$B$7:$B$34,SMALL(IF('FORMAL PROCUREMENT (IFB &amp; RFP)'!$D$6:$I$334=$P$2,ROW('FORMAL PROCUREMENT (IFB &amp; RFP)'!$B$7:$B$34)-ROW('FORMAL PROCUREMENT (IFB &amp; RFP)'!$B$7)+1),ROWS('FORMAL PROCUREMENT (IFB &amp; RFP)'!$B$7:'FORMAL PROCUREMENT (IFB &amp; RFP)'!$B21))),""),"")</f>
        <v/>
      </c>
      <c r="Q18" s="56" t="str">
        <f>IFERROR(VLOOKUP(P18,'FORMAL PROCUREMENT (IFB &amp; RFP)'!$B:$J,9,0), "")</f>
        <v/>
      </c>
      <c r="R18" s="63"/>
      <c r="S18" s="63"/>
      <c r="T18" s="75"/>
      <c r="U18" s="56" t="str">
        <f t="array" ref="U18">IF($U$2 &lt;&gt; "",IFERROR(INDEX('FORMAL PROCUREMENT (IFB &amp; RFP)'!$B$7:$B$34,SMALL(IF('FORMAL PROCUREMENT (IFB &amp; RFP)'!$D$6:$I$334=$U$2,ROW('FORMAL PROCUREMENT (IFB &amp; RFP)'!$B$7:$B$34)-ROW('FORMAL PROCUREMENT (IFB &amp; RFP)'!$B$7)+1),ROWS('FORMAL PROCUREMENT (IFB &amp; RFP)'!$B$7:'FORMAL PROCUREMENT (IFB &amp; RFP)'!$B21))),""),"")</f>
        <v/>
      </c>
      <c r="V18" s="56" t="str">
        <f>IFERROR(VLOOKUP(U18,'FORMAL PROCUREMENT (IFB &amp; RFP)'!$B:$J,9,0), "")</f>
        <v/>
      </c>
      <c r="W18" s="63"/>
      <c r="X18" s="63"/>
      <c r="Y18" s="75"/>
      <c r="Z18" s="56" t="str">
        <f t="array" ref="Z18">IF($Z$2 &lt;&gt; "",IFERROR(INDEX('FORMAL PROCUREMENT (IFB &amp; RFP)'!$B$7:$B$34,SMALL(IF('FORMAL PROCUREMENT (IFB &amp; RFP)'!$D$6:$I$334=$Z$2,ROW('FORMAL PROCUREMENT (IFB &amp; RFP)'!$B$7:$B$34)-ROW('FORMAL PROCUREMENT (IFB &amp; RFP)'!$B$7)+1),ROWS('FORMAL PROCUREMENT (IFB &amp; RFP)'!$B$7:'FORMAL PROCUREMENT (IFB &amp; RFP)'!$B21))),""),"")</f>
        <v/>
      </c>
      <c r="AA18" s="56" t="str">
        <f>IFERROR(VLOOKUP(Z18,'FORMAL PROCUREMENT (IFB &amp; RFP)'!$B:$J,9,0), "")</f>
        <v/>
      </c>
      <c r="AB18" s="63"/>
      <c r="AC18" s="63"/>
      <c r="AD18" s="75"/>
      <c r="AE18" s="82"/>
      <c r="AF18" s="82"/>
      <c r="AG18" s="82"/>
      <c r="AH18" s="82"/>
      <c r="AI18" s="82"/>
      <c r="AJ18" s="82"/>
      <c r="AK18" s="82"/>
      <c r="AL18" s="82"/>
    </row>
    <row r="19" spans="1:38" s="83" customFormat="1" ht="15.75" x14ac:dyDescent="0.25">
      <c r="A19" s="56" t="str">
        <f t="array" ref="A19">IF($A$2 &lt;&gt; "",IFERROR(INDEX('FORMAL PROCUREMENT (IFB &amp; RFP)'!$B$7:$B$34,SMALL(IF('FORMAL PROCUREMENT (IFB &amp; RFP)'!$D$6:$I$334=$A$2,ROW('FORMAL PROCUREMENT (IFB &amp; RFP)'!$B$7:$B$34)-ROW('FORMAL PROCUREMENT (IFB &amp; RFP)'!$B$7)+1),ROWS('FORMAL PROCUREMENT (IFB &amp; RFP)'!$B$7:'FORMAL PROCUREMENT (IFB &amp; RFP)'!$B22))),""),"")</f>
        <v/>
      </c>
      <c r="B19" s="56" t="str">
        <f>IFERROR(VLOOKUP(A19,'FORMAL PROCUREMENT (IFB &amp; RFP)'!$B:$J,9,0), "")</f>
        <v/>
      </c>
      <c r="C19" s="63"/>
      <c r="D19" s="63"/>
      <c r="E19" s="75"/>
      <c r="F19" s="56" t="str">
        <f t="array" ref="F19">IF($F$2 &lt;&gt; "",IFERROR(INDEX('FORMAL PROCUREMENT (IFB &amp; RFP)'!$B$7:$B$34,SMALL(IF('FORMAL PROCUREMENT (IFB &amp; RFP)'!$D$6:$I$334=$F$2,ROW('FORMAL PROCUREMENT (IFB &amp; RFP)'!$B$7:$B$34)-ROW('FORMAL PROCUREMENT (IFB &amp; RFP)'!$B$7)+1),ROWS('FORMAL PROCUREMENT (IFB &amp; RFP)'!$B$7:'FORMAL PROCUREMENT (IFB &amp; RFP)'!$B22))),""),"")</f>
        <v/>
      </c>
      <c r="G19" s="56" t="str">
        <f>IFERROR(VLOOKUP(F19,'FORMAL PROCUREMENT (IFB &amp; RFP)'!$B:$J,9,0), "")</f>
        <v/>
      </c>
      <c r="H19" s="63"/>
      <c r="I19" s="63"/>
      <c r="J19" s="75"/>
      <c r="K19" s="56" t="str">
        <f t="array" ref="K19">IF($K$2 &lt;&gt; "",IFERROR(INDEX('FORMAL PROCUREMENT (IFB &amp; RFP)'!$B$7:$B$34,SMALL(IF('FORMAL PROCUREMENT (IFB &amp; RFP)'!$D$6:$I$334=$K$2,ROW('FORMAL PROCUREMENT (IFB &amp; RFP)'!$B$7:$B$34)-ROW('FORMAL PROCUREMENT (IFB &amp; RFP)'!$B$7)+1),ROWS('FORMAL PROCUREMENT (IFB &amp; RFP)'!$B$7:'FORMAL PROCUREMENT (IFB &amp; RFP)'!$A22))),""),"")</f>
        <v/>
      </c>
      <c r="L19" s="56" t="str">
        <f>IFERROR(VLOOKUP(K19,'FORMAL PROCUREMENT (IFB &amp; RFP)'!$B:$J,9,0), "")</f>
        <v/>
      </c>
      <c r="M19" s="63"/>
      <c r="N19" s="63"/>
      <c r="O19" s="75"/>
      <c r="P19" s="56" t="str">
        <f t="array" ref="P19">IF($P$2 &lt;&gt; "",IFERROR(INDEX('FORMAL PROCUREMENT (IFB &amp; RFP)'!$B$7:$B$34,SMALL(IF('FORMAL PROCUREMENT (IFB &amp; RFP)'!$D$6:$I$334=$P$2,ROW('FORMAL PROCUREMENT (IFB &amp; RFP)'!$B$7:$B$34)-ROW('FORMAL PROCUREMENT (IFB &amp; RFP)'!$B$7)+1),ROWS('FORMAL PROCUREMENT (IFB &amp; RFP)'!$B$7:'FORMAL PROCUREMENT (IFB &amp; RFP)'!$A22))),""),"")</f>
        <v/>
      </c>
      <c r="Q19" s="56" t="str">
        <f>IFERROR(VLOOKUP(P19,'FORMAL PROCUREMENT (IFB &amp; RFP)'!$B:$J,9,0), "")</f>
        <v/>
      </c>
      <c r="R19" s="63"/>
      <c r="S19" s="63"/>
      <c r="T19" s="75"/>
      <c r="U19" s="56" t="str">
        <f t="array" ref="U19">IF($U$2 &lt;&gt; "",IFERROR(INDEX('FORMAL PROCUREMENT (IFB &amp; RFP)'!$B$7:$B$34,SMALL(IF('FORMAL PROCUREMENT (IFB &amp; RFP)'!$D$6:$I$334=$U$2,ROW('FORMAL PROCUREMENT (IFB &amp; RFP)'!$B$7:$B$34)-ROW('FORMAL PROCUREMENT (IFB &amp; RFP)'!$B$7)+1),ROWS('FORMAL PROCUREMENT (IFB &amp; RFP)'!$B$7:'FORMAL PROCUREMENT (IFB &amp; RFP)'!$A22))),""),"")</f>
        <v/>
      </c>
      <c r="V19" s="56" t="str">
        <f>IFERROR(VLOOKUP(U19,'FORMAL PROCUREMENT (IFB &amp; RFP)'!$B:$J,9,0), "")</f>
        <v/>
      </c>
      <c r="W19" s="63"/>
      <c r="X19" s="63"/>
      <c r="Y19" s="75"/>
      <c r="Z19" s="56" t="str">
        <f t="array" ref="Z19">IF($Z$2 &lt;&gt; "",IFERROR(INDEX('FORMAL PROCUREMENT (IFB &amp; RFP)'!$B$7:$B$34,SMALL(IF('FORMAL PROCUREMENT (IFB &amp; RFP)'!$D$6:$I$334=$Z$2,ROW('FORMAL PROCUREMENT (IFB &amp; RFP)'!$B$7:$B$34)-ROW('FORMAL PROCUREMENT (IFB &amp; RFP)'!$B$7)+1),ROWS('FORMAL PROCUREMENT (IFB &amp; RFP)'!$B$7:'FORMAL PROCUREMENT (IFB &amp; RFP)'!$A22))),""),"")</f>
        <v/>
      </c>
      <c r="AA19" s="56" t="str">
        <f>IFERROR(VLOOKUP(Z19,'FORMAL PROCUREMENT (IFB &amp; RFP)'!$B:$J,9,0), "")</f>
        <v/>
      </c>
      <c r="AB19" s="63"/>
      <c r="AC19" s="63"/>
      <c r="AD19" s="75"/>
      <c r="AE19" s="82"/>
      <c r="AF19" s="82"/>
      <c r="AG19" s="82"/>
      <c r="AH19" s="82"/>
      <c r="AI19" s="82"/>
      <c r="AJ19" s="82"/>
      <c r="AK19" s="82"/>
      <c r="AL19" s="82"/>
    </row>
    <row r="20" spans="1:38" s="83" customFormat="1" ht="15.75" x14ac:dyDescent="0.25">
      <c r="A20" s="56" t="str">
        <f t="array" ref="A20">IF($A$2 &lt;&gt; "",IFERROR(INDEX('FORMAL PROCUREMENT (IFB &amp; RFP)'!$B$7:$B$34,SMALL(IF('FORMAL PROCUREMENT (IFB &amp; RFP)'!$D$6:$I$334=$A$2,ROW('FORMAL PROCUREMENT (IFB &amp; RFP)'!$B$7:$B$34)-ROW('FORMAL PROCUREMENT (IFB &amp; RFP)'!$B$7)+1),ROWS('FORMAL PROCUREMENT (IFB &amp; RFP)'!$B$7:'FORMAL PROCUREMENT (IFB &amp; RFP)'!$B23))),""),"")</f>
        <v/>
      </c>
      <c r="B20" s="56" t="str">
        <f>IFERROR(VLOOKUP(A20,'FORMAL PROCUREMENT (IFB &amp; RFP)'!$B:$J,9,0), "")</f>
        <v/>
      </c>
      <c r="C20" s="63"/>
      <c r="D20" s="63"/>
      <c r="E20" s="75"/>
      <c r="F20" s="56" t="str">
        <f t="array" ref="F20">IF($F$2 &lt;&gt; "",IFERROR(INDEX('FORMAL PROCUREMENT (IFB &amp; RFP)'!$B$7:$B$34,SMALL(IF('FORMAL PROCUREMENT (IFB &amp; RFP)'!$D$6:$I$334=$F$2,ROW('FORMAL PROCUREMENT (IFB &amp; RFP)'!$B$7:$B$34)-ROW('FORMAL PROCUREMENT (IFB &amp; RFP)'!$B$7)+1),ROWS('FORMAL PROCUREMENT (IFB &amp; RFP)'!$B$7:'FORMAL PROCUREMENT (IFB &amp; RFP)'!$B23))),""),"")</f>
        <v/>
      </c>
      <c r="G20" s="56" t="str">
        <f>IFERROR(VLOOKUP(F20,'FORMAL PROCUREMENT (IFB &amp; RFP)'!$B:$J,9,0), "")</f>
        <v/>
      </c>
      <c r="H20" s="63"/>
      <c r="I20" s="63"/>
      <c r="J20" s="75"/>
      <c r="K20" s="56" t="str">
        <f t="array" ref="K20">IF($K$2 &lt;&gt; "",IFERROR(INDEX('FORMAL PROCUREMENT (IFB &amp; RFP)'!$B$7:$B$34,SMALL(IF('FORMAL PROCUREMENT (IFB &amp; RFP)'!$D$6:$I$334=$K$2,ROW('FORMAL PROCUREMENT (IFB &amp; RFP)'!$B$7:$B$34)-ROW('FORMAL PROCUREMENT (IFB &amp; RFP)'!$B$7)+1),ROWS('FORMAL PROCUREMENT (IFB &amp; RFP)'!$B$7:'FORMAL PROCUREMENT (IFB &amp; RFP)'!$B23))),""),"")</f>
        <v/>
      </c>
      <c r="L20" s="56" t="str">
        <f>IFERROR(VLOOKUP(K20,'FORMAL PROCUREMENT (IFB &amp; RFP)'!$B:$J,9,0), "")</f>
        <v/>
      </c>
      <c r="M20" s="63"/>
      <c r="N20" s="63"/>
      <c r="O20" s="75"/>
      <c r="P20" s="56" t="str">
        <f t="array" ref="P20">IF($P$2 &lt;&gt; "",IFERROR(INDEX('FORMAL PROCUREMENT (IFB &amp; RFP)'!$B$7:$B$34,SMALL(IF('FORMAL PROCUREMENT (IFB &amp; RFP)'!$D$6:$I$334=$P$2,ROW('FORMAL PROCUREMENT (IFB &amp; RFP)'!$B$7:$B$34)-ROW('FORMAL PROCUREMENT (IFB &amp; RFP)'!$B$7)+1),ROWS('FORMAL PROCUREMENT (IFB &amp; RFP)'!$B$7:'FORMAL PROCUREMENT (IFB &amp; RFP)'!$B23))),""),"")</f>
        <v/>
      </c>
      <c r="Q20" s="56" t="str">
        <f>IFERROR(VLOOKUP(P20,'FORMAL PROCUREMENT (IFB &amp; RFP)'!$B:$J,9,0), "")</f>
        <v/>
      </c>
      <c r="R20" s="63"/>
      <c r="S20" s="63"/>
      <c r="T20" s="75"/>
      <c r="U20" s="56" t="str">
        <f t="array" ref="U20">IF($U$2 &lt;&gt; "",IFERROR(INDEX('FORMAL PROCUREMENT (IFB &amp; RFP)'!$B$7:$B$34,SMALL(IF('FORMAL PROCUREMENT (IFB &amp; RFP)'!$D$6:$I$334=$U$2,ROW('FORMAL PROCUREMENT (IFB &amp; RFP)'!$B$7:$B$34)-ROW('FORMAL PROCUREMENT (IFB &amp; RFP)'!$B$7)+1),ROWS('FORMAL PROCUREMENT (IFB &amp; RFP)'!$B$7:'FORMAL PROCUREMENT (IFB &amp; RFP)'!$B23))),""),"")</f>
        <v/>
      </c>
      <c r="V20" s="56" t="str">
        <f>IFERROR(VLOOKUP(U20,'FORMAL PROCUREMENT (IFB &amp; RFP)'!$B:$J,9,0), "")</f>
        <v/>
      </c>
      <c r="W20" s="63"/>
      <c r="X20" s="63"/>
      <c r="Y20" s="75"/>
      <c r="Z20" s="56" t="str">
        <f t="array" ref="Z20">IF($Z$2 &lt;&gt; "",IFERROR(INDEX('FORMAL PROCUREMENT (IFB &amp; RFP)'!$B$7:$B$34,SMALL(IF('FORMAL PROCUREMENT (IFB &amp; RFP)'!$D$6:$I$334=$Z$2,ROW('FORMAL PROCUREMENT (IFB &amp; RFP)'!$B$7:$B$34)-ROW('FORMAL PROCUREMENT (IFB &amp; RFP)'!$B$7)+1),ROWS('FORMAL PROCUREMENT (IFB &amp; RFP)'!$B$7:'FORMAL PROCUREMENT (IFB &amp; RFP)'!$B23))),""),"")</f>
        <v/>
      </c>
      <c r="AA20" s="56" t="str">
        <f>IFERROR(VLOOKUP(Z20,'FORMAL PROCUREMENT (IFB &amp; RFP)'!$B:$J,9,0), "")</f>
        <v/>
      </c>
      <c r="AB20" s="63"/>
      <c r="AC20" s="63"/>
      <c r="AD20" s="75"/>
      <c r="AE20" s="82"/>
      <c r="AF20" s="82"/>
      <c r="AG20" s="82"/>
      <c r="AH20" s="82"/>
      <c r="AI20" s="82"/>
      <c r="AJ20" s="82"/>
      <c r="AK20" s="82"/>
      <c r="AL20" s="82"/>
    </row>
    <row r="21" spans="1:38" s="83" customFormat="1" ht="15.75" x14ac:dyDescent="0.25">
      <c r="A21" s="56" t="str">
        <f t="array" ref="A21">IF($A$2 &lt;&gt; "",IFERROR(INDEX('FORMAL PROCUREMENT (IFB &amp; RFP)'!$B$7:$B$34,SMALL(IF('FORMAL PROCUREMENT (IFB &amp; RFP)'!$D$6:$I$334=$A$2,ROW('FORMAL PROCUREMENT (IFB &amp; RFP)'!$B$7:$B$34)-ROW('FORMAL PROCUREMENT (IFB &amp; RFP)'!$B$7)+1),ROWS('FORMAL PROCUREMENT (IFB &amp; RFP)'!$B$7:'FORMAL PROCUREMENT (IFB &amp; RFP)'!$B24))),""),"")</f>
        <v/>
      </c>
      <c r="B21" s="56" t="str">
        <f>IFERROR(VLOOKUP(A21,'FORMAL PROCUREMENT (IFB &amp; RFP)'!$B:$J,9,0), "")</f>
        <v/>
      </c>
      <c r="C21" s="63"/>
      <c r="D21" s="63"/>
      <c r="E21" s="75"/>
      <c r="F21" s="56" t="str">
        <f t="array" ref="F21">IF($F$2 &lt;&gt; "",IFERROR(INDEX('FORMAL PROCUREMENT (IFB &amp; RFP)'!$B$7:$B$34,SMALL(IF('FORMAL PROCUREMENT (IFB &amp; RFP)'!$D$6:$I$334=$F$2,ROW('FORMAL PROCUREMENT (IFB &amp; RFP)'!$B$7:$B$34)-ROW('FORMAL PROCUREMENT (IFB &amp; RFP)'!$B$7)+1),ROWS('FORMAL PROCUREMENT (IFB &amp; RFP)'!$B$7:'FORMAL PROCUREMENT (IFB &amp; RFP)'!$B24))),""),"")</f>
        <v/>
      </c>
      <c r="G21" s="56" t="str">
        <f>IFERROR(VLOOKUP(F21,'FORMAL PROCUREMENT (IFB &amp; RFP)'!$B:$J,9,0), "")</f>
        <v/>
      </c>
      <c r="H21" s="63"/>
      <c r="I21" s="63"/>
      <c r="J21" s="75"/>
      <c r="K21" s="56" t="str">
        <f t="array" ref="K21">IF($K$2 &lt;&gt; "",IFERROR(INDEX('FORMAL PROCUREMENT (IFB &amp; RFP)'!$B$7:$B$34,SMALL(IF('FORMAL PROCUREMENT (IFB &amp; RFP)'!$D$6:$I$334=$K$2,ROW('FORMAL PROCUREMENT (IFB &amp; RFP)'!$B$7:$B$34)-ROW('FORMAL PROCUREMENT (IFB &amp; RFP)'!$B$7)+1),ROWS('FORMAL PROCUREMENT (IFB &amp; RFP)'!$B$7:'FORMAL PROCUREMENT (IFB &amp; RFP)'!$A24))),""),"")</f>
        <v/>
      </c>
      <c r="L21" s="56" t="str">
        <f>IFERROR(VLOOKUP(K21,'FORMAL PROCUREMENT (IFB &amp; RFP)'!$B:$J,9,0), "")</f>
        <v/>
      </c>
      <c r="M21" s="63"/>
      <c r="N21" s="63"/>
      <c r="O21" s="75"/>
      <c r="P21" s="56" t="str">
        <f t="array" ref="P21">IF($P$2 &lt;&gt; "",IFERROR(INDEX('FORMAL PROCUREMENT (IFB &amp; RFP)'!$B$7:$B$34,SMALL(IF('FORMAL PROCUREMENT (IFB &amp; RFP)'!$D$6:$I$334=$P$2,ROW('FORMAL PROCUREMENT (IFB &amp; RFP)'!$B$7:$B$34)-ROW('FORMAL PROCUREMENT (IFB &amp; RFP)'!$B$7)+1),ROWS('FORMAL PROCUREMENT (IFB &amp; RFP)'!$B$7:'FORMAL PROCUREMENT (IFB &amp; RFP)'!$A24))),""),"")</f>
        <v/>
      </c>
      <c r="Q21" s="56" t="str">
        <f>IFERROR(VLOOKUP(P21,'FORMAL PROCUREMENT (IFB &amp; RFP)'!$B:$J,9,0), "")</f>
        <v/>
      </c>
      <c r="R21" s="63"/>
      <c r="S21" s="63"/>
      <c r="T21" s="75"/>
      <c r="U21" s="56" t="str">
        <f t="array" ref="U21">IF($U$2 &lt;&gt; "",IFERROR(INDEX('FORMAL PROCUREMENT (IFB &amp; RFP)'!$B$7:$B$34,SMALL(IF('FORMAL PROCUREMENT (IFB &amp; RFP)'!$D$6:$I$334=$U$2,ROW('FORMAL PROCUREMENT (IFB &amp; RFP)'!$B$7:$B$34)-ROW('FORMAL PROCUREMENT (IFB &amp; RFP)'!$B$7)+1),ROWS('FORMAL PROCUREMENT (IFB &amp; RFP)'!$B$7:'FORMAL PROCUREMENT (IFB &amp; RFP)'!$A24))),""),"")</f>
        <v/>
      </c>
      <c r="V21" s="56" t="str">
        <f>IFERROR(VLOOKUP(U21,'FORMAL PROCUREMENT (IFB &amp; RFP)'!$B:$J,9,0), "")</f>
        <v/>
      </c>
      <c r="W21" s="63"/>
      <c r="X21" s="63"/>
      <c r="Y21" s="75"/>
      <c r="Z21" s="56" t="str">
        <f t="array" ref="Z21">IF($Z$2 &lt;&gt; "",IFERROR(INDEX('FORMAL PROCUREMENT (IFB &amp; RFP)'!$B$7:$B$34,SMALL(IF('FORMAL PROCUREMENT (IFB &amp; RFP)'!$D$6:$I$334=$Z$2,ROW('FORMAL PROCUREMENT (IFB &amp; RFP)'!$B$7:$B$34)-ROW('FORMAL PROCUREMENT (IFB &amp; RFP)'!$B$7)+1),ROWS('FORMAL PROCUREMENT (IFB &amp; RFP)'!$B$7:'FORMAL PROCUREMENT (IFB &amp; RFP)'!$A24))),""),"")</f>
        <v/>
      </c>
      <c r="AA21" s="56" t="str">
        <f>IFERROR(VLOOKUP(Z21,'FORMAL PROCUREMENT (IFB &amp; RFP)'!$B:$J,9,0), "")</f>
        <v/>
      </c>
      <c r="AB21" s="63"/>
      <c r="AC21" s="63"/>
      <c r="AD21" s="75"/>
      <c r="AE21" s="82"/>
      <c r="AF21" s="82"/>
      <c r="AG21" s="82"/>
      <c r="AH21" s="82"/>
      <c r="AI21" s="82"/>
      <c r="AJ21" s="82"/>
      <c r="AK21" s="82"/>
      <c r="AL21" s="82"/>
    </row>
    <row r="22" spans="1:38" s="83" customFormat="1" ht="15.75" x14ac:dyDescent="0.25">
      <c r="A22" s="56" t="str">
        <f t="array" ref="A22">IF($A$2 &lt;&gt; "",IFERROR(INDEX('FORMAL PROCUREMENT (IFB &amp; RFP)'!$B$7:$B$34,SMALL(IF('FORMAL PROCUREMENT (IFB &amp; RFP)'!$D$6:$I$334=$A$2,ROW('FORMAL PROCUREMENT (IFB &amp; RFP)'!$B$7:$B$34)-ROW('FORMAL PROCUREMENT (IFB &amp; RFP)'!$B$7)+1),ROWS('FORMAL PROCUREMENT (IFB &amp; RFP)'!$B$7:'FORMAL PROCUREMENT (IFB &amp; RFP)'!$B25))),""),"")</f>
        <v/>
      </c>
      <c r="B22" s="56" t="str">
        <f>IFERROR(VLOOKUP(A22,'FORMAL PROCUREMENT (IFB &amp; RFP)'!$B:$J,9,0), "")</f>
        <v/>
      </c>
      <c r="C22" s="63"/>
      <c r="D22" s="63"/>
      <c r="E22" s="75"/>
      <c r="F22" s="56" t="str">
        <f t="array" ref="F22">IF($F$2 &lt;&gt; "",IFERROR(INDEX('FORMAL PROCUREMENT (IFB &amp; RFP)'!$B$7:$B$34,SMALL(IF('FORMAL PROCUREMENT (IFB &amp; RFP)'!$D$6:$I$334=$F$2,ROW('FORMAL PROCUREMENT (IFB &amp; RFP)'!$B$7:$B$34)-ROW('FORMAL PROCUREMENT (IFB &amp; RFP)'!$B$7)+1),ROWS('FORMAL PROCUREMENT (IFB &amp; RFP)'!$B$7:'FORMAL PROCUREMENT (IFB &amp; RFP)'!$B25))),""),"")</f>
        <v/>
      </c>
      <c r="G22" s="56" t="str">
        <f>IFERROR(VLOOKUP(F22,'FORMAL PROCUREMENT (IFB &amp; RFP)'!$B:$J,9,0), "")</f>
        <v/>
      </c>
      <c r="H22" s="63"/>
      <c r="I22" s="63"/>
      <c r="J22" s="75"/>
      <c r="K22" s="56" t="str">
        <f t="array" ref="K22">IF($K$2 &lt;&gt; "",IFERROR(INDEX('FORMAL PROCUREMENT (IFB &amp; RFP)'!$B$7:$B$34,SMALL(IF('FORMAL PROCUREMENT (IFB &amp; RFP)'!$D$6:$I$334=$K$2,ROW('FORMAL PROCUREMENT (IFB &amp; RFP)'!$B$7:$B$34)-ROW('FORMAL PROCUREMENT (IFB &amp; RFP)'!$B$7)+1),ROWS('FORMAL PROCUREMENT (IFB &amp; RFP)'!$B$7:'FORMAL PROCUREMENT (IFB &amp; RFP)'!$B25))),""),"")</f>
        <v/>
      </c>
      <c r="L22" s="56" t="str">
        <f>IFERROR(VLOOKUP(K22,'FORMAL PROCUREMENT (IFB &amp; RFP)'!$B:$J,9,0), "")</f>
        <v/>
      </c>
      <c r="M22" s="63"/>
      <c r="N22" s="63"/>
      <c r="O22" s="75"/>
      <c r="P22" s="56" t="str">
        <f t="array" ref="P22">IF($P$2 &lt;&gt; "",IFERROR(INDEX('FORMAL PROCUREMENT (IFB &amp; RFP)'!$B$7:$B$34,SMALL(IF('FORMAL PROCUREMENT (IFB &amp; RFP)'!$D$6:$I$334=$P$2,ROW('FORMAL PROCUREMENT (IFB &amp; RFP)'!$B$7:$B$34)-ROW('FORMAL PROCUREMENT (IFB &amp; RFP)'!$B$7)+1),ROWS('FORMAL PROCUREMENT (IFB &amp; RFP)'!$B$7:'FORMAL PROCUREMENT (IFB &amp; RFP)'!$B25))),""),"")</f>
        <v/>
      </c>
      <c r="Q22" s="56" t="str">
        <f>IFERROR(VLOOKUP(P22,'FORMAL PROCUREMENT (IFB &amp; RFP)'!$B:$J,9,0), "")</f>
        <v/>
      </c>
      <c r="R22" s="63"/>
      <c r="S22" s="63"/>
      <c r="T22" s="75"/>
      <c r="U22" s="56" t="str">
        <f t="array" ref="U22">IF($U$2 &lt;&gt; "",IFERROR(INDEX('FORMAL PROCUREMENT (IFB &amp; RFP)'!$B$7:$B$34,SMALL(IF('FORMAL PROCUREMENT (IFB &amp; RFP)'!$D$6:$I$334=$U$2,ROW('FORMAL PROCUREMENT (IFB &amp; RFP)'!$B$7:$B$34)-ROW('FORMAL PROCUREMENT (IFB &amp; RFP)'!$B$7)+1),ROWS('FORMAL PROCUREMENT (IFB &amp; RFP)'!$B$7:'FORMAL PROCUREMENT (IFB &amp; RFP)'!$B25))),""),"")</f>
        <v/>
      </c>
      <c r="V22" s="56" t="str">
        <f>IFERROR(VLOOKUP(U22,'FORMAL PROCUREMENT (IFB &amp; RFP)'!$B:$J,9,0), "")</f>
        <v/>
      </c>
      <c r="W22" s="63"/>
      <c r="X22" s="63"/>
      <c r="Y22" s="75"/>
      <c r="Z22" s="56" t="str">
        <f t="array" ref="Z22">IF($Z$2 &lt;&gt; "",IFERROR(INDEX('FORMAL PROCUREMENT (IFB &amp; RFP)'!$B$7:$B$34,SMALL(IF('FORMAL PROCUREMENT (IFB &amp; RFP)'!$D$6:$I$334=$Z$2,ROW('FORMAL PROCUREMENT (IFB &amp; RFP)'!$B$7:$B$34)-ROW('FORMAL PROCUREMENT (IFB &amp; RFP)'!$B$7)+1),ROWS('FORMAL PROCUREMENT (IFB &amp; RFP)'!$B$7:'FORMAL PROCUREMENT (IFB &amp; RFP)'!$B25))),""),"")</f>
        <v/>
      </c>
      <c r="AA22" s="56" t="str">
        <f>IFERROR(VLOOKUP(Z22,'FORMAL PROCUREMENT (IFB &amp; RFP)'!$B:$J,9,0), "")</f>
        <v/>
      </c>
      <c r="AB22" s="63"/>
      <c r="AC22" s="63"/>
      <c r="AD22" s="75"/>
      <c r="AE22" s="82"/>
      <c r="AF22" s="82"/>
      <c r="AG22" s="82"/>
      <c r="AH22" s="82"/>
      <c r="AI22" s="82"/>
      <c r="AJ22" s="82"/>
      <c r="AK22" s="82"/>
      <c r="AL22" s="82"/>
    </row>
    <row r="23" spans="1:38" s="83" customFormat="1" ht="15.75" x14ac:dyDescent="0.25">
      <c r="A23" s="56" t="str">
        <f t="array" ref="A23">IF($A$2 &lt;&gt; "",IFERROR(INDEX('FORMAL PROCUREMENT (IFB &amp; RFP)'!$B$7:$B$34,SMALL(IF('FORMAL PROCUREMENT (IFB &amp; RFP)'!$D$6:$I$334=$A$2,ROW('FORMAL PROCUREMENT (IFB &amp; RFP)'!$B$7:$B$34)-ROW('FORMAL PROCUREMENT (IFB &amp; RFP)'!$B$7)+1),ROWS('FORMAL PROCUREMENT (IFB &amp; RFP)'!$B$7:'FORMAL PROCUREMENT (IFB &amp; RFP)'!$B26))),""),"")</f>
        <v/>
      </c>
      <c r="B23" s="56" t="str">
        <f>IFERROR(VLOOKUP(A23,'FORMAL PROCUREMENT (IFB &amp; RFP)'!$B:$J,9,0), "")</f>
        <v/>
      </c>
      <c r="C23" s="63"/>
      <c r="D23" s="63"/>
      <c r="E23" s="75"/>
      <c r="F23" s="56" t="str">
        <f t="array" ref="F23">IF($F$2 &lt;&gt; "",IFERROR(INDEX('FORMAL PROCUREMENT (IFB &amp; RFP)'!$B$7:$B$34,SMALL(IF('FORMAL PROCUREMENT (IFB &amp; RFP)'!$D$6:$I$334=$F$2,ROW('FORMAL PROCUREMENT (IFB &amp; RFP)'!$B$7:$B$34)-ROW('FORMAL PROCUREMENT (IFB &amp; RFP)'!$B$7)+1),ROWS('FORMAL PROCUREMENT (IFB &amp; RFP)'!$B$7:'FORMAL PROCUREMENT (IFB &amp; RFP)'!$B26))),""),"")</f>
        <v/>
      </c>
      <c r="G23" s="56" t="str">
        <f>IFERROR(VLOOKUP(F23,'FORMAL PROCUREMENT (IFB &amp; RFP)'!$B:$J,9,0), "")</f>
        <v/>
      </c>
      <c r="H23" s="63"/>
      <c r="I23" s="63"/>
      <c r="J23" s="75"/>
      <c r="K23" s="56" t="str">
        <f t="array" ref="K23">IF($K$2 &lt;&gt; "",IFERROR(INDEX('FORMAL PROCUREMENT (IFB &amp; RFP)'!$B$7:$B$34,SMALL(IF('FORMAL PROCUREMENT (IFB &amp; RFP)'!$D$6:$I$334=$K$2,ROW('FORMAL PROCUREMENT (IFB &amp; RFP)'!$B$7:$B$34)-ROW('FORMAL PROCUREMENT (IFB &amp; RFP)'!$B$7)+1),ROWS('FORMAL PROCUREMENT (IFB &amp; RFP)'!$B$7:'FORMAL PROCUREMENT (IFB &amp; RFP)'!$B26))),""),"")</f>
        <v/>
      </c>
      <c r="L23" s="56" t="str">
        <f>IFERROR(VLOOKUP(K23,'FORMAL PROCUREMENT (IFB &amp; RFP)'!$B:$J,9,0), "")</f>
        <v/>
      </c>
      <c r="M23" s="63"/>
      <c r="N23" s="63"/>
      <c r="O23" s="75"/>
      <c r="P23" s="56" t="str">
        <f t="array" ref="P23">IF($P$2 &lt;&gt; "",IFERROR(INDEX('FORMAL PROCUREMENT (IFB &amp; RFP)'!$B$7:$B$34,SMALL(IF('FORMAL PROCUREMENT (IFB &amp; RFP)'!$D$6:$I$334=$P$2,ROW('FORMAL PROCUREMENT (IFB &amp; RFP)'!$B$7:$B$34)-ROW('FORMAL PROCUREMENT (IFB &amp; RFP)'!$B$7)+1),ROWS('FORMAL PROCUREMENT (IFB &amp; RFP)'!$B$7:'FORMAL PROCUREMENT (IFB &amp; RFP)'!$B26))),""),"")</f>
        <v/>
      </c>
      <c r="Q23" s="56" t="str">
        <f>IFERROR(VLOOKUP(P23,'FORMAL PROCUREMENT (IFB &amp; RFP)'!$B:$J,9,0), "")</f>
        <v/>
      </c>
      <c r="R23" s="63"/>
      <c r="S23" s="63"/>
      <c r="T23" s="75"/>
      <c r="U23" s="56" t="str">
        <f t="array" ref="U23">IF($U$2 &lt;&gt; "",IFERROR(INDEX('FORMAL PROCUREMENT (IFB &amp; RFP)'!$B$7:$B$34,SMALL(IF('FORMAL PROCUREMENT (IFB &amp; RFP)'!$D$6:$I$334=$U$2,ROW('FORMAL PROCUREMENT (IFB &amp; RFP)'!$B$7:$B$34)-ROW('FORMAL PROCUREMENT (IFB &amp; RFP)'!$B$7)+1),ROWS('FORMAL PROCUREMENT (IFB &amp; RFP)'!$B$7:'FORMAL PROCUREMENT (IFB &amp; RFP)'!$B26))),""),"")</f>
        <v/>
      </c>
      <c r="V23" s="56" t="str">
        <f>IFERROR(VLOOKUP(U23,'FORMAL PROCUREMENT (IFB &amp; RFP)'!$B:$J,9,0), "")</f>
        <v/>
      </c>
      <c r="W23" s="63"/>
      <c r="X23" s="63"/>
      <c r="Y23" s="75"/>
      <c r="Z23" s="56" t="str">
        <f t="array" ref="Z23">IF($Z$2 &lt;&gt; "",IFERROR(INDEX('FORMAL PROCUREMENT (IFB &amp; RFP)'!$B$7:$B$34,SMALL(IF('FORMAL PROCUREMENT (IFB &amp; RFP)'!$D$6:$I$334=$Z$2,ROW('FORMAL PROCUREMENT (IFB &amp; RFP)'!$B$7:$B$34)-ROW('FORMAL PROCUREMENT (IFB &amp; RFP)'!$B$7)+1),ROWS('FORMAL PROCUREMENT (IFB &amp; RFP)'!$B$7:'FORMAL PROCUREMENT (IFB &amp; RFP)'!$B26))),""),"")</f>
        <v/>
      </c>
      <c r="AA23" s="56" t="str">
        <f>IFERROR(VLOOKUP(Z23,'FORMAL PROCUREMENT (IFB &amp; RFP)'!$B:$J,9,0), "")</f>
        <v/>
      </c>
      <c r="AB23" s="63"/>
      <c r="AC23" s="63"/>
      <c r="AD23" s="75"/>
      <c r="AE23" s="82"/>
      <c r="AF23" s="82"/>
      <c r="AG23" s="82"/>
      <c r="AH23" s="82"/>
      <c r="AI23" s="82"/>
      <c r="AJ23" s="82"/>
      <c r="AK23" s="82"/>
      <c r="AL23" s="82"/>
    </row>
    <row r="24" spans="1:38" s="83" customFormat="1" ht="15.75" x14ac:dyDescent="0.25">
      <c r="A24" s="56" t="str">
        <f t="array" ref="A24">IF($A$2 &lt;&gt; "",IFERROR(INDEX('FORMAL PROCUREMENT (IFB &amp; RFP)'!$B$7:$B$34,SMALL(IF('FORMAL PROCUREMENT (IFB &amp; RFP)'!$D$6:$I$334=$A$2,ROW('FORMAL PROCUREMENT (IFB &amp; RFP)'!$B$7:$B$34)-ROW('FORMAL PROCUREMENT (IFB &amp; RFP)'!$B$7)+1),ROWS('FORMAL PROCUREMENT (IFB &amp; RFP)'!$B$7:'FORMAL PROCUREMENT (IFB &amp; RFP)'!$B27))),""),"")</f>
        <v/>
      </c>
      <c r="B24" s="56" t="str">
        <f>IFERROR(VLOOKUP(A24,'FORMAL PROCUREMENT (IFB &amp; RFP)'!$B:$J,9,0), "")</f>
        <v/>
      </c>
      <c r="C24" s="63"/>
      <c r="D24" s="63"/>
      <c r="E24" s="75"/>
      <c r="F24" s="56" t="str">
        <f t="array" ref="F24">IF($F$2 &lt;&gt; "",IFERROR(INDEX('FORMAL PROCUREMENT (IFB &amp; RFP)'!$B$7:$B$34,SMALL(IF('FORMAL PROCUREMENT (IFB &amp; RFP)'!$D$6:$I$334=$F$2,ROW('FORMAL PROCUREMENT (IFB &amp; RFP)'!$B$7:$B$34)-ROW('FORMAL PROCUREMENT (IFB &amp; RFP)'!$B$7)+1),ROWS('FORMAL PROCUREMENT (IFB &amp; RFP)'!$B$7:'FORMAL PROCUREMENT (IFB &amp; RFP)'!$B27))),""),"")</f>
        <v/>
      </c>
      <c r="G24" s="56" t="str">
        <f>IFERROR(VLOOKUP(F24,'FORMAL PROCUREMENT (IFB &amp; RFP)'!$B:$J,9,0), "")</f>
        <v/>
      </c>
      <c r="H24" s="63"/>
      <c r="I24" s="63"/>
      <c r="J24" s="75"/>
      <c r="K24" s="56" t="str">
        <f t="array" ref="K24">IF($K$2 &lt;&gt; "",IFERROR(INDEX('FORMAL PROCUREMENT (IFB &amp; RFP)'!$B$7:$B$34,SMALL(IF('FORMAL PROCUREMENT (IFB &amp; RFP)'!$D$6:$I$334=$K$2,ROW('FORMAL PROCUREMENT (IFB &amp; RFP)'!$B$7:$B$34)-ROW('FORMAL PROCUREMENT (IFB &amp; RFP)'!$B$7)+1),ROWS('FORMAL PROCUREMENT (IFB &amp; RFP)'!$B$7:'FORMAL PROCUREMENT (IFB &amp; RFP)'!$B27))),""),"")</f>
        <v/>
      </c>
      <c r="L24" s="56" t="str">
        <f>IFERROR(VLOOKUP(K24,'FORMAL PROCUREMENT (IFB &amp; RFP)'!$B:$J,9,0), "")</f>
        <v/>
      </c>
      <c r="M24" s="63"/>
      <c r="N24" s="63"/>
      <c r="O24" s="75"/>
      <c r="P24" s="56" t="str">
        <f t="array" ref="P24">IF($P$2 &lt;&gt; "",IFERROR(INDEX('FORMAL PROCUREMENT (IFB &amp; RFP)'!$B$7:$B$34,SMALL(IF('FORMAL PROCUREMENT (IFB &amp; RFP)'!$D$6:$I$334=$P$2,ROW('FORMAL PROCUREMENT (IFB &amp; RFP)'!$B$7:$B$34)-ROW('FORMAL PROCUREMENT (IFB &amp; RFP)'!$B$7)+1),ROWS('FORMAL PROCUREMENT (IFB &amp; RFP)'!$B$7:'FORMAL PROCUREMENT (IFB &amp; RFP)'!$B27))),""),"")</f>
        <v/>
      </c>
      <c r="Q24" s="56" t="str">
        <f>IFERROR(VLOOKUP(P24,'FORMAL PROCUREMENT (IFB &amp; RFP)'!$B:$J,9,0), "")</f>
        <v/>
      </c>
      <c r="R24" s="63"/>
      <c r="S24" s="63"/>
      <c r="T24" s="75"/>
      <c r="U24" s="56" t="str">
        <f t="array" ref="U24">IF($U$2 &lt;&gt; "",IFERROR(INDEX('FORMAL PROCUREMENT (IFB &amp; RFP)'!$B$7:$B$34,SMALL(IF('FORMAL PROCUREMENT (IFB &amp; RFP)'!$D$6:$I$334=$U$2,ROW('FORMAL PROCUREMENT (IFB &amp; RFP)'!$B$7:$B$34)-ROW('FORMAL PROCUREMENT (IFB &amp; RFP)'!$B$7)+1),ROWS('FORMAL PROCUREMENT (IFB &amp; RFP)'!$B$7:'FORMAL PROCUREMENT (IFB &amp; RFP)'!$B27))),""),"")</f>
        <v/>
      </c>
      <c r="V24" s="56" t="str">
        <f>IFERROR(VLOOKUP(U24,'FORMAL PROCUREMENT (IFB &amp; RFP)'!$B:$J,9,0), "")</f>
        <v/>
      </c>
      <c r="W24" s="63"/>
      <c r="X24" s="63"/>
      <c r="Y24" s="75"/>
      <c r="Z24" s="56" t="str">
        <f t="array" ref="Z24">IF($Z$2 &lt;&gt; "",IFERROR(INDEX('FORMAL PROCUREMENT (IFB &amp; RFP)'!$B$7:$B$34,SMALL(IF('FORMAL PROCUREMENT (IFB &amp; RFP)'!$D$6:$I$334=$Z$2,ROW('FORMAL PROCUREMENT (IFB &amp; RFP)'!$B$7:$B$34)-ROW('FORMAL PROCUREMENT (IFB &amp; RFP)'!$B$7)+1),ROWS('FORMAL PROCUREMENT (IFB &amp; RFP)'!$B$7:'FORMAL PROCUREMENT (IFB &amp; RFP)'!$B27))),""),"")</f>
        <v/>
      </c>
      <c r="AA24" s="56" t="str">
        <f>IFERROR(VLOOKUP(Z24,'FORMAL PROCUREMENT (IFB &amp; RFP)'!$B:$J,9,0), "")</f>
        <v/>
      </c>
      <c r="AB24" s="63"/>
      <c r="AC24" s="63"/>
      <c r="AD24" s="75"/>
      <c r="AE24" s="82"/>
      <c r="AF24" s="82"/>
      <c r="AG24" s="82"/>
      <c r="AH24" s="82"/>
      <c r="AI24" s="82"/>
      <c r="AJ24" s="82"/>
      <c r="AK24" s="82"/>
      <c r="AL24" s="82"/>
    </row>
    <row r="25" spans="1:38" s="83" customFormat="1" ht="15.75" x14ac:dyDescent="0.25">
      <c r="A25" s="56" t="str">
        <f t="array" ref="A25">IF($A$2 &lt;&gt; "",IFERROR(INDEX('FORMAL PROCUREMENT (IFB &amp; RFP)'!$B$7:$B$34,SMALL(IF('FORMAL PROCUREMENT (IFB &amp; RFP)'!$D$6:$I$334=$A$2,ROW('FORMAL PROCUREMENT (IFB &amp; RFP)'!$B$7:$B$34)-ROW('FORMAL PROCUREMENT (IFB &amp; RFP)'!$B$7)+1),ROWS('FORMAL PROCUREMENT (IFB &amp; RFP)'!$B$7:'FORMAL PROCUREMENT (IFB &amp; RFP)'!$B28))),""),"")</f>
        <v/>
      </c>
      <c r="B25" s="56" t="str">
        <f>IFERROR(VLOOKUP(A25,'FORMAL PROCUREMENT (IFB &amp; RFP)'!$B:$J,9,0), "")</f>
        <v/>
      </c>
      <c r="C25" s="63"/>
      <c r="D25" s="63"/>
      <c r="E25" s="75"/>
      <c r="F25" s="56" t="str">
        <f t="array" ref="F25">IF($F$2 &lt;&gt; "",IFERROR(INDEX('FORMAL PROCUREMENT (IFB &amp; RFP)'!$B$7:$B$34,SMALL(IF('FORMAL PROCUREMENT (IFB &amp; RFP)'!$D$6:$I$334=$F$2,ROW('FORMAL PROCUREMENT (IFB &amp; RFP)'!$B$7:$B$34)-ROW('FORMAL PROCUREMENT (IFB &amp; RFP)'!$B$7)+1),ROWS('FORMAL PROCUREMENT (IFB &amp; RFP)'!$B$7:'FORMAL PROCUREMENT (IFB &amp; RFP)'!$B28))),""),"")</f>
        <v/>
      </c>
      <c r="G25" s="56" t="str">
        <f>IFERROR(VLOOKUP(F25,'FORMAL PROCUREMENT (IFB &amp; RFP)'!$B:$J,9,0), "")</f>
        <v/>
      </c>
      <c r="H25" s="63"/>
      <c r="I25" s="63"/>
      <c r="J25" s="75"/>
      <c r="K25" s="56" t="str">
        <f t="array" ref="K25">IF($K$2 &lt;&gt; "",IFERROR(INDEX('FORMAL PROCUREMENT (IFB &amp; RFP)'!$B$7:$B$34,SMALL(IF('FORMAL PROCUREMENT (IFB &amp; RFP)'!$D$6:$I$334=$K$2,ROW('FORMAL PROCUREMENT (IFB &amp; RFP)'!$B$7:$B$34)-ROW('FORMAL PROCUREMENT (IFB &amp; RFP)'!$B$7)+1),ROWS('FORMAL PROCUREMENT (IFB &amp; RFP)'!$B$7:'FORMAL PROCUREMENT (IFB &amp; RFP)'!$B28))),""),"")</f>
        <v/>
      </c>
      <c r="L25" s="56" t="str">
        <f>IFERROR(VLOOKUP(K25,'FORMAL PROCUREMENT (IFB &amp; RFP)'!$B:$J,9,0), "")</f>
        <v/>
      </c>
      <c r="M25" s="63"/>
      <c r="N25" s="63"/>
      <c r="O25" s="75"/>
      <c r="P25" s="56" t="str">
        <f t="array" ref="P25">IF($P$2 &lt;&gt; "",IFERROR(INDEX('FORMAL PROCUREMENT (IFB &amp; RFP)'!$B$7:$B$34,SMALL(IF('FORMAL PROCUREMENT (IFB &amp; RFP)'!$D$6:$I$334=$P$2,ROW('FORMAL PROCUREMENT (IFB &amp; RFP)'!$B$7:$B$34)-ROW('FORMAL PROCUREMENT (IFB &amp; RFP)'!$B$7)+1),ROWS('FORMAL PROCUREMENT (IFB &amp; RFP)'!$B$7:'FORMAL PROCUREMENT (IFB &amp; RFP)'!$B28))),""),"")</f>
        <v/>
      </c>
      <c r="Q25" s="56" t="str">
        <f>IFERROR(VLOOKUP(P25,'FORMAL PROCUREMENT (IFB &amp; RFP)'!$B:$J,9,0), "")</f>
        <v/>
      </c>
      <c r="R25" s="63"/>
      <c r="S25" s="63"/>
      <c r="T25" s="75"/>
      <c r="U25" s="56" t="str">
        <f t="array" ref="U25">IF($U$2 &lt;&gt; "",IFERROR(INDEX('FORMAL PROCUREMENT (IFB &amp; RFP)'!$B$7:$B$34,SMALL(IF('FORMAL PROCUREMENT (IFB &amp; RFP)'!$D$6:$I$334=$U$2,ROW('FORMAL PROCUREMENT (IFB &amp; RFP)'!$B$7:$B$34)-ROW('FORMAL PROCUREMENT (IFB &amp; RFP)'!$B$7)+1),ROWS('FORMAL PROCUREMENT (IFB &amp; RFP)'!$B$7:'FORMAL PROCUREMENT (IFB &amp; RFP)'!$B28))),""),"")</f>
        <v/>
      </c>
      <c r="V25" s="56" t="str">
        <f>IFERROR(VLOOKUP(U25,'FORMAL PROCUREMENT (IFB &amp; RFP)'!$B:$J,9,0), "")</f>
        <v/>
      </c>
      <c r="W25" s="63"/>
      <c r="X25" s="63"/>
      <c r="Y25" s="75"/>
      <c r="Z25" s="56" t="str">
        <f t="array" ref="Z25">IF($Z$2 &lt;&gt; "",IFERROR(INDEX('FORMAL PROCUREMENT (IFB &amp; RFP)'!$B$7:$B$34,SMALL(IF('FORMAL PROCUREMENT (IFB &amp; RFP)'!$D$6:$I$334=$Z$2,ROW('FORMAL PROCUREMENT (IFB &amp; RFP)'!$B$7:$B$34)-ROW('FORMAL PROCUREMENT (IFB &amp; RFP)'!$B$7)+1),ROWS('FORMAL PROCUREMENT (IFB &amp; RFP)'!$B$7:'FORMAL PROCUREMENT (IFB &amp; RFP)'!$B28))),""),"")</f>
        <v/>
      </c>
      <c r="AA25" s="56" t="str">
        <f>IFERROR(VLOOKUP(Z25,'FORMAL PROCUREMENT (IFB &amp; RFP)'!$B:$J,9,0), "")</f>
        <v/>
      </c>
      <c r="AB25" s="63"/>
      <c r="AC25" s="63"/>
      <c r="AD25" s="75"/>
      <c r="AE25" s="82"/>
      <c r="AF25" s="82"/>
      <c r="AG25" s="82"/>
      <c r="AH25" s="82"/>
      <c r="AI25" s="82"/>
      <c r="AJ25" s="82"/>
      <c r="AK25" s="82"/>
      <c r="AL25" s="82"/>
    </row>
    <row r="26" spans="1:38" s="83" customFormat="1" ht="15.75" x14ac:dyDescent="0.25">
      <c r="A26" s="56" t="str">
        <f t="array" ref="A26">IF($A$2 &lt;&gt; "",IFERROR(INDEX('FORMAL PROCUREMENT (IFB &amp; RFP)'!$B$7:$B$34,SMALL(IF('FORMAL PROCUREMENT (IFB &amp; RFP)'!$D$6:$I$334=$A$2,ROW('FORMAL PROCUREMENT (IFB &amp; RFP)'!$B$7:$B$34)-ROW('FORMAL PROCUREMENT (IFB &amp; RFP)'!$B$7)+1),ROWS('FORMAL PROCUREMENT (IFB &amp; RFP)'!$B$7:'FORMAL PROCUREMENT (IFB &amp; RFP)'!$B29))),""),"")</f>
        <v/>
      </c>
      <c r="B26" s="56" t="str">
        <f>IFERROR(VLOOKUP(A26,'FORMAL PROCUREMENT (IFB &amp; RFP)'!$B:$J,9,0), "")</f>
        <v/>
      </c>
      <c r="C26" s="63"/>
      <c r="D26" s="63"/>
      <c r="E26" s="75"/>
      <c r="F26" s="56" t="str">
        <f t="array" ref="F26">IF($F$2 &lt;&gt; "",IFERROR(INDEX('FORMAL PROCUREMENT (IFB &amp; RFP)'!$B$7:$B$34,SMALL(IF('FORMAL PROCUREMENT (IFB &amp; RFP)'!$D$6:$I$334=$F$2,ROW('FORMAL PROCUREMENT (IFB &amp; RFP)'!$B$7:$B$34)-ROW('FORMAL PROCUREMENT (IFB &amp; RFP)'!$B$7)+1),ROWS('FORMAL PROCUREMENT (IFB &amp; RFP)'!$B$7:'FORMAL PROCUREMENT (IFB &amp; RFP)'!$B29))),""),"")</f>
        <v/>
      </c>
      <c r="G26" s="56" t="str">
        <f>IFERROR(VLOOKUP(F26,'FORMAL PROCUREMENT (IFB &amp; RFP)'!$B:$J,9,0), "")</f>
        <v/>
      </c>
      <c r="H26" s="63"/>
      <c r="I26" s="63"/>
      <c r="J26" s="75"/>
      <c r="K26" s="56" t="str">
        <f t="array" ref="K26">IF($K$2 &lt;&gt; "",IFERROR(INDEX('FORMAL PROCUREMENT (IFB &amp; RFP)'!$B$7:$B$34,SMALL(IF('FORMAL PROCUREMENT (IFB &amp; RFP)'!$D$6:$I$334=$K$2,ROW('FORMAL PROCUREMENT (IFB &amp; RFP)'!$B$7:$B$34)-ROW('FORMAL PROCUREMENT (IFB &amp; RFP)'!$B$7)+1),ROWS('FORMAL PROCUREMENT (IFB &amp; RFP)'!$B$7:'FORMAL PROCUREMENT (IFB &amp; RFP)'!$B29))),""),"")</f>
        <v/>
      </c>
      <c r="L26" s="56" t="str">
        <f>IFERROR(VLOOKUP(K26,'FORMAL PROCUREMENT (IFB &amp; RFP)'!$B:$J,9,0), "")</f>
        <v/>
      </c>
      <c r="M26" s="63"/>
      <c r="N26" s="63"/>
      <c r="O26" s="75"/>
      <c r="P26" s="56" t="str">
        <f t="array" ref="P26">IF($P$2 &lt;&gt; "",IFERROR(INDEX('FORMAL PROCUREMENT (IFB &amp; RFP)'!$B$7:$B$34,SMALL(IF('FORMAL PROCUREMENT (IFB &amp; RFP)'!$D$6:$I$334=$P$2,ROW('FORMAL PROCUREMENT (IFB &amp; RFP)'!$B$7:$B$34)-ROW('FORMAL PROCUREMENT (IFB &amp; RFP)'!$B$7)+1),ROWS('FORMAL PROCUREMENT (IFB &amp; RFP)'!$B$7:'FORMAL PROCUREMENT (IFB &amp; RFP)'!$B29))),""),"")</f>
        <v/>
      </c>
      <c r="Q26" s="56" t="str">
        <f>IFERROR(VLOOKUP(P26,'FORMAL PROCUREMENT (IFB &amp; RFP)'!$B:$J,9,0), "")</f>
        <v/>
      </c>
      <c r="R26" s="63"/>
      <c r="S26" s="63"/>
      <c r="T26" s="75"/>
      <c r="U26" s="56" t="str">
        <f t="array" ref="U26">IF($U$2 &lt;&gt; "",IFERROR(INDEX('FORMAL PROCUREMENT (IFB &amp; RFP)'!$B$7:$B$34,SMALL(IF('FORMAL PROCUREMENT (IFB &amp; RFP)'!$D$6:$I$334=$U$2,ROW('FORMAL PROCUREMENT (IFB &amp; RFP)'!$B$7:$B$34)-ROW('FORMAL PROCUREMENT (IFB &amp; RFP)'!$B$7)+1),ROWS('FORMAL PROCUREMENT (IFB &amp; RFP)'!$B$7:'FORMAL PROCUREMENT (IFB &amp; RFP)'!$B29))),""),"")</f>
        <v/>
      </c>
      <c r="V26" s="56" t="str">
        <f>IFERROR(VLOOKUP(U26,'FORMAL PROCUREMENT (IFB &amp; RFP)'!$B:$J,9,0), "")</f>
        <v/>
      </c>
      <c r="W26" s="63"/>
      <c r="X26" s="63"/>
      <c r="Y26" s="75"/>
      <c r="Z26" s="56" t="str">
        <f t="array" ref="Z26">IF($Z$2 &lt;&gt; "",IFERROR(INDEX('FORMAL PROCUREMENT (IFB &amp; RFP)'!$B$7:$B$34,SMALL(IF('FORMAL PROCUREMENT (IFB &amp; RFP)'!$D$6:$I$334=$Z$2,ROW('FORMAL PROCUREMENT (IFB &amp; RFP)'!$B$7:$B$34)-ROW('FORMAL PROCUREMENT (IFB &amp; RFP)'!$B$7)+1),ROWS('FORMAL PROCUREMENT (IFB &amp; RFP)'!$B$7:'FORMAL PROCUREMENT (IFB &amp; RFP)'!$B29))),""),"")</f>
        <v/>
      </c>
      <c r="AA26" s="56" t="str">
        <f>IFERROR(VLOOKUP(Z26,'FORMAL PROCUREMENT (IFB &amp; RFP)'!$B:$J,9,0), "")</f>
        <v/>
      </c>
      <c r="AB26" s="63"/>
      <c r="AC26" s="63"/>
      <c r="AD26" s="75"/>
      <c r="AE26" s="82"/>
      <c r="AF26" s="82"/>
      <c r="AG26" s="82"/>
      <c r="AH26" s="82"/>
      <c r="AI26" s="82"/>
      <c r="AJ26" s="82"/>
      <c r="AK26" s="82"/>
      <c r="AL26" s="82"/>
    </row>
    <row r="27" spans="1:38" s="83" customFormat="1" ht="15.75" x14ac:dyDescent="0.25">
      <c r="A27" s="56" t="str">
        <f t="array" ref="A27">IF($A$2 &lt;&gt; "",IFERROR(INDEX('FORMAL PROCUREMENT (IFB &amp; RFP)'!$B$7:$B$34,SMALL(IF('FORMAL PROCUREMENT (IFB &amp; RFP)'!$D$6:$I$334=$A$2,ROW('FORMAL PROCUREMENT (IFB &amp; RFP)'!$B$7:$B$34)-ROW('FORMAL PROCUREMENT (IFB &amp; RFP)'!$B$7)+1),ROWS('FORMAL PROCUREMENT (IFB &amp; RFP)'!$B$7:'FORMAL PROCUREMENT (IFB &amp; RFP)'!$B30))),""),"")</f>
        <v/>
      </c>
      <c r="B27" s="56" t="str">
        <f>IFERROR(VLOOKUP(A27,'FORMAL PROCUREMENT (IFB &amp; RFP)'!$B:$J,9,0), "")</f>
        <v/>
      </c>
      <c r="C27" s="63"/>
      <c r="D27" s="63"/>
      <c r="E27" s="75"/>
      <c r="F27" s="56" t="str">
        <f t="array" ref="F27">IF($F$2 &lt;&gt; "",IFERROR(INDEX('FORMAL PROCUREMENT (IFB &amp; RFP)'!$B$7:$B$34,SMALL(IF('FORMAL PROCUREMENT (IFB &amp; RFP)'!$D$6:$I$334=$F$2,ROW('FORMAL PROCUREMENT (IFB &amp; RFP)'!$B$7:$B$34)-ROW('FORMAL PROCUREMENT (IFB &amp; RFP)'!$B$7)+1),ROWS('FORMAL PROCUREMENT (IFB &amp; RFP)'!$B$7:'FORMAL PROCUREMENT (IFB &amp; RFP)'!$B30))),""),"")</f>
        <v/>
      </c>
      <c r="G27" s="56" t="str">
        <f>IFERROR(VLOOKUP(F27,'FORMAL PROCUREMENT (IFB &amp; RFP)'!$B:$J,9,0), "")</f>
        <v/>
      </c>
      <c r="H27" s="63"/>
      <c r="I27" s="63"/>
      <c r="J27" s="75"/>
      <c r="K27" s="56" t="str">
        <f t="array" ref="K27">IF($K$2 &lt;&gt; "",IFERROR(INDEX('FORMAL PROCUREMENT (IFB &amp; RFP)'!$B$7:$B$34,SMALL(IF('FORMAL PROCUREMENT (IFB &amp; RFP)'!$D$6:$I$334=$K$2,ROW('FORMAL PROCUREMENT (IFB &amp; RFP)'!$B$7:$B$34)-ROW('FORMAL PROCUREMENT (IFB &amp; RFP)'!$B$7)+1),ROWS('FORMAL PROCUREMENT (IFB &amp; RFP)'!$B$7:'FORMAL PROCUREMENT (IFB &amp; RFP)'!$A30))),""),"")</f>
        <v/>
      </c>
      <c r="L27" s="56" t="str">
        <f>IFERROR(VLOOKUP(K27,'FORMAL PROCUREMENT (IFB &amp; RFP)'!$B:$J,9,0), "")</f>
        <v/>
      </c>
      <c r="M27" s="63"/>
      <c r="N27" s="63"/>
      <c r="O27" s="75"/>
      <c r="P27" s="56" t="str">
        <f t="array" ref="P27">IF($P$2 &lt;&gt; "",IFERROR(INDEX('FORMAL PROCUREMENT (IFB &amp; RFP)'!$B$7:$B$34,SMALL(IF('FORMAL PROCUREMENT (IFB &amp; RFP)'!$D$6:$I$334=$P$2,ROW('FORMAL PROCUREMENT (IFB &amp; RFP)'!$B$7:$B$34)-ROW('FORMAL PROCUREMENT (IFB &amp; RFP)'!$B$7)+1),ROWS('FORMAL PROCUREMENT (IFB &amp; RFP)'!$B$7:'FORMAL PROCUREMENT (IFB &amp; RFP)'!$A30))),""),"")</f>
        <v/>
      </c>
      <c r="Q27" s="56" t="str">
        <f>IFERROR(VLOOKUP(P27,'FORMAL PROCUREMENT (IFB &amp; RFP)'!$B:$J,9,0), "")</f>
        <v/>
      </c>
      <c r="R27" s="63"/>
      <c r="S27" s="63"/>
      <c r="T27" s="75"/>
      <c r="U27" s="56" t="str">
        <f t="array" ref="U27">IF($U$2 &lt;&gt; "",IFERROR(INDEX('FORMAL PROCUREMENT (IFB &amp; RFP)'!$B$7:$B$34,SMALL(IF('FORMAL PROCUREMENT (IFB &amp; RFP)'!$D$6:$I$334=$U$2,ROW('FORMAL PROCUREMENT (IFB &amp; RFP)'!$B$7:$B$34)-ROW('FORMAL PROCUREMENT (IFB &amp; RFP)'!$B$7)+1),ROWS('FORMAL PROCUREMENT (IFB &amp; RFP)'!$B$7:'FORMAL PROCUREMENT (IFB &amp; RFP)'!$A30))),""),"")</f>
        <v/>
      </c>
      <c r="V27" s="56" t="str">
        <f>IFERROR(VLOOKUP(U27,'FORMAL PROCUREMENT (IFB &amp; RFP)'!$B:$J,9,0), "")</f>
        <v/>
      </c>
      <c r="W27" s="63"/>
      <c r="X27" s="63"/>
      <c r="Y27" s="75"/>
      <c r="Z27" s="56" t="str">
        <f t="array" ref="Z27">IF($Z$2 &lt;&gt; "",IFERROR(INDEX('FORMAL PROCUREMENT (IFB &amp; RFP)'!$B$7:$B$34,SMALL(IF('FORMAL PROCUREMENT (IFB &amp; RFP)'!$D$6:$I$334=$Z$2,ROW('FORMAL PROCUREMENT (IFB &amp; RFP)'!$B$7:$B$34)-ROW('FORMAL PROCUREMENT (IFB &amp; RFP)'!$B$7)+1),ROWS('FORMAL PROCUREMENT (IFB &amp; RFP)'!$B$7:'FORMAL PROCUREMENT (IFB &amp; RFP)'!$A30))),""),"")</f>
        <v/>
      </c>
      <c r="AA27" s="56" t="str">
        <f>IFERROR(VLOOKUP(Z27,'FORMAL PROCUREMENT (IFB &amp; RFP)'!$B:$J,9,0), "")</f>
        <v/>
      </c>
      <c r="AB27" s="63"/>
      <c r="AC27" s="63"/>
      <c r="AD27" s="75"/>
      <c r="AE27" s="82"/>
      <c r="AF27" s="82"/>
      <c r="AG27" s="82"/>
      <c r="AH27" s="82"/>
      <c r="AI27" s="82"/>
      <c r="AJ27" s="82"/>
      <c r="AK27" s="82"/>
      <c r="AL27" s="82"/>
    </row>
    <row r="28" spans="1:38" s="83" customFormat="1" ht="15.75" x14ac:dyDescent="0.25">
      <c r="A28" s="56" t="str">
        <f t="array" ref="A28">IF($A$2 &lt;&gt; "",IFERROR(INDEX('FORMAL PROCUREMENT (IFB &amp; RFP)'!$B$7:$B$34,SMALL(IF('FORMAL PROCUREMENT (IFB &amp; RFP)'!$D$6:$I$334=$A$2,ROW('FORMAL PROCUREMENT (IFB &amp; RFP)'!$B$7:$B$34)-ROW('FORMAL PROCUREMENT (IFB &amp; RFP)'!$B$7)+1),ROWS('FORMAL PROCUREMENT (IFB &amp; RFP)'!$B$7:'FORMAL PROCUREMENT (IFB &amp; RFP)'!$B31))),""),"")</f>
        <v/>
      </c>
      <c r="B28" s="56" t="str">
        <f>IFERROR(VLOOKUP(A28,'FORMAL PROCUREMENT (IFB &amp; RFP)'!$B:$J,9,0), "")</f>
        <v/>
      </c>
      <c r="C28" s="63"/>
      <c r="D28" s="63"/>
      <c r="E28" s="75"/>
      <c r="F28" s="56" t="str">
        <f t="array" ref="F28">IF($F$2 &lt;&gt; "",IFERROR(INDEX('FORMAL PROCUREMENT (IFB &amp; RFP)'!$B$7:$B$34,SMALL(IF('FORMAL PROCUREMENT (IFB &amp; RFP)'!$D$6:$I$334=$F$2,ROW('FORMAL PROCUREMENT (IFB &amp; RFP)'!$B$7:$B$34)-ROW('FORMAL PROCUREMENT (IFB &amp; RFP)'!$B$7)+1),ROWS('FORMAL PROCUREMENT (IFB &amp; RFP)'!$B$7:'FORMAL PROCUREMENT (IFB &amp; RFP)'!$B31))),""),"")</f>
        <v/>
      </c>
      <c r="G28" s="56" t="str">
        <f>IFERROR(VLOOKUP(F28,'FORMAL PROCUREMENT (IFB &amp; RFP)'!$B:$J,9,0), "")</f>
        <v/>
      </c>
      <c r="H28" s="63"/>
      <c r="I28" s="63"/>
      <c r="J28" s="75"/>
      <c r="K28" s="56" t="str">
        <f t="array" ref="K28">IF($K$2 &lt;&gt; "",IFERROR(INDEX('FORMAL PROCUREMENT (IFB &amp; RFP)'!$B$7:$B$34,SMALL(IF('FORMAL PROCUREMENT (IFB &amp; RFP)'!$D$6:$I$334=$K$2,ROW('FORMAL PROCUREMENT (IFB &amp; RFP)'!$B$7:$B$34)-ROW('FORMAL PROCUREMENT (IFB &amp; RFP)'!$B$7)+1),ROWS('FORMAL PROCUREMENT (IFB &amp; RFP)'!$B$7:'FORMAL PROCUREMENT (IFB &amp; RFP)'!$B31))),""),"")</f>
        <v/>
      </c>
      <c r="L28" s="56" t="str">
        <f>IFERROR(VLOOKUP(K28,'FORMAL PROCUREMENT (IFB &amp; RFP)'!$B:$J,9,0), "")</f>
        <v/>
      </c>
      <c r="M28" s="63"/>
      <c r="N28" s="63"/>
      <c r="O28" s="75"/>
      <c r="P28" s="56" t="str">
        <f t="array" ref="P28">IF($P$2 &lt;&gt; "",IFERROR(INDEX('FORMAL PROCUREMENT (IFB &amp; RFP)'!$B$7:$B$34,SMALL(IF('FORMAL PROCUREMENT (IFB &amp; RFP)'!$D$6:$I$334=$P$2,ROW('FORMAL PROCUREMENT (IFB &amp; RFP)'!$B$7:$B$34)-ROW('FORMAL PROCUREMENT (IFB &amp; RFP)'!$B$7)+1),ROWS('FORMAL PROCUREMENT (IFB &amp; RFP)'!$B$7:'FORMAL PROCUREMENT (IFB &amp; RFP)'!$B31))),""),"")</f>
        <v/>
      </c>
      <c r="Q28" s="56" t="str">
        <f>IFERROR(VLOOKUP(P28,'FORMAL PROCUREMENT (IFB &amp; RFP)'!$B:$J,9,0), "")</f>
        <v/>
      </c>
      <c r="R28" s="63"/>
      <c r="S28" s="63"/>
      <c r="T28" s="75"/>
      <c r="U28" s="56" t="str">
        <f t="array" ref="U28">IF($U$2 &lt;&gt; "",IFERROR(INDEX('FORMAL PROCUREMENT (IFB &amp; RFP)'!$B$7:$B$34,SMALL(IF('FORMAL PROCUREMENT (IFB &amp; RFP)'!$D$6:$I$334=$U$2,ROW('FORMAL PROCUREMENT (IFB &amp; RFP)'!$B$7:$B$34)-ROW('FORMAL PROCUREMENT (IFB &amp; RFP)'!$B$7)+1),ROWS('FORMAL PROCUREMENT (IFB &amp; RFP)'!$B$7:'FORMAL PROCUREMENT (IFB &amp; RFP)'!$B31))),""),"")</f>
        <v/>
      </c>
      <c r="V28" s="56" t="str">
        <f>IFERROR(VLOOKUP(U28,'FORMAL PROCUREMENT (IFB &amp; RFP)'!$B:$J,9,0), "")</f>
        <v/>
      </c>
      <c r="W28" s="63"/>
      <c r="X28" s="63"/>
      <c r="Y28" s="75"/>
      <c r="Z28" s="56" t="str">
        <f t="array" ref="Z28">IF($Z$2 &lt;&gt; "",IFERROR(INDEX('FORMAL PROCUREMENT (IFB &amp; RFP)'!$B$7:$B$34,SMALL(IF('FORMAL PROCUREMENT (IFB &amp; RFP)'!$D$6:$I$334=$Z$2,ROW('FORMAL PROCUREMENT (IFB &amp; RFP)'!$B$7:$B$34)-ROW('FORMAL PROCUREMENT (IFB &amp; RFP)'!$B$7)+1),ROWS('FORMAL PROCUREMENT (IFB &amp; RFP)'!$B$7:'FORMAL PROCUREMENT (IFB &amp; RFP)'!$B31))),""),"")</f>
        <v/>
      </c>
      <c r="AA28" s="56" t="str">
        <f>IFERROR(VLOOKUP(Z28,'FORMAL PROCUREMENT (IFB &amp; RFP)'!$B:$J,9,0), "")</f>
        <v/>
      </c>
      <c r="AB28" s="63"/>
      <c r="AC28" s="63"/>
      <c r="AD28" s="75"/>
      <c r="AE28" s="82"/>
      <c r="AF28" s="82"/>
      <c r="AG28" s="82"/>
      <c r="AH28" s="82"/>
      <c r="AI28" s="82"/>
      <c r="AJ28" s="82"/>
      <c r="AK28" s="82"/>
      <c r="AL28" s="82"/>
    </row>
    <row r="29" spans="1:38" s="83" customFormat="1" ht="15.75" x14ac:dyDescent="0.25">
      <c r="A29" s="56" t="str">
        <f t="array" ref="A29">IF($A$2 &lt;&gt; "",IFERROR(INDEX('FORMAL PROCUREMENT (IFB &amp; RFP)'!$B$7:$B$34,SMALL(IF('FORMAL PROCUREMENT (IFB &amp; RFP)'!$D$6:$I$334=$A$2,ROW('FORMAL PROCUREMENT (IFB &amp; RFP)'!$B$7:$B$34)-ROW('FORMAL PROCUREMENT (IFB &amp; RFP)'!$B$7)+1),ROWS('FORMAL PROCUREMENT (IFB &amp; RFP)'!$B$7:'FORMAL PROCUREMENT (IFB &amp; RFP)'!$B32))),""),"")</f>
        <v/>
      </c>
      <c r="B29" s="56" t="str">
        <f>IFERROR(VLOOKUP(A29,'FORMAL PROCUREMENT (IFB &amp; RFP)'!$B:$J,9,0), "")</f>
        <v/>
      </c>
      <c r="C29" s="63"/>
      <c r="D29" s="63"/>
      <c r="E29" s="75"/>
      <c r="F29" s="56" t="str">
        <f t="array" ref="F29">IF($F$2 &lt;&gt; "",IFERROR(INDEX('FORMAL PROCUREMENT (IFB &amp; RFP)'!$B$7:$B$34,SMALL(IF('FORMAL PROCUREMENT (IFB &amp; RFP)'!$D$6:$I$334=$F$2,ROW('FORMAL PROCUREMENT (IFB &amp; RFP)'!$B$7:$B$34)-ROW('FORMAL PROCUREMENT (IFB &amp; RFP)'!$B$7)+1),ROWS('FORMAL PROCUREMENT (IFB &amp; RFP)'!$B$7:'FORMAL PROCUREMENT (IFB &amp; RFP)'!$B32))),""),"")</f>
        <v/>
      </c>
      <c r="G29" s="56" t="str">
        <f>IFERROR(VLOOKUP(F29,'FORMAL PROCUREMENT (IFB &amp; RFP)'!$B:$J,9,0), "")</f>
        <v/>
      </c>
      <c r="H29" s="63"/>
      <c r="I29" s="63"/>
      <c r="J29" s="75"/>
      <c r="K29" s="56" t="str">
        <f t="array" ref="K29">IF($K$2 &lt;&gt; "",IFERROR(INDEX('FORMAL PROCUREMENT (IFB &amp; RFP)'!$B$7:$B$34,SMALL(IF('FORMAL PROCUREMENT (IFB &amp; RFP)'!$D$6:$I$334=$K$2,ROW('FORMAL PROCUREMENT (IFB &amp; RFP)'!$B$7:$B$34)-ROW('FORMAL PROCUREMENT (IFB &amp; RFP)'!$B$7)+1),ROWS('FORMAL PROCUREMENT (IFB &amp; RFP)'!$B$7:'FORMAL PROCUREMENT (IFB &amp; RFP)'!$B32))),""),"")</f>
        <v/>
      </c>
      <c r="L29" s="56" t="str">
        <f>IFERROR(VLOOKUP(K29,'FORMAL PROCUREMENT (IFB &amp; RFP)'!$B:$J,9,0), "")</f>
        <v/>
      </c>
      <c r="M29" s="63"/>
      <c r="N29" s="63"/>
      <c r="O29" s="75"/>
      <c r="P29" s="56" t="str">
        <f t="array" ref="P29">IF($P$2 &lt;&gt; "",IFERROR(INDEX('FORMAL PROCUREMENT (IFB &amp; RFP)'!$B$7:$B$34,SMALL(IF('FORMAL PROCUREMENT (IFB &amp; RFP)'!$D$6:$I$334=$P$2,ROW('FORMAL PROCUREMENT (IFB &amp; RFP)'!$B$7:$B$34)-ROW('FORMAL PROCUREMENT (IFB &amp; RFP)'!$B$7)+1),ROWS('FORMAL PROCUREMENT (IFB &amp; RFP)'!$B$7:'FORMAL PROCUREMENT (IFB &amp; RFP)'!$B32))),""),"")</f>
        <v/>
      </c>
      <c r="Q29" s="56" t="str">
        <f>IFERROR(VLOOKUP(P29,'FORMAL PROCUREMENT (IFB &amp; RFP)'!$B:$J,9,0), "")</f>
        <v/>
      </c>
      <c r="R29" s="63"/>
      <c r="S29" s="63"/>
      <c r="T29" s="75"/>
      <c r="U29" s="56" t="str">
        <f t="array" ref="U29">IF($U$2 &lt;&gt; "",IFERROR(INDEX('FORMAL PROCUREMENT (IFB &amp; RFP)'!$B$7:$B$34,SMALL(IF('FORMAL PROCUREMENT (IFB &amp; RFP)'!$D$6:$I$334=$U$2,ROW('FORMAL PROCUREMENT (IFB &amp; RFP)'!$B$7:$B$34)-ROW('FORMAL PROCUREMENT (IFB &amp; RFP)'!$B$7)+1),ROWS('FORMAL PROCUREMENT (IFB &amp; RFP)'!$B$7:'FORMAL PROCUREMENT (IFB &amp; RFP)'!$B32))),""),"")</f>
        <v/>
      </c>
      <c r="V29" s="56" t="str">
        <f>IFERROR(VLOOKUP(U29,'FORMAL PROCUREMENT (IFB &amp; RFP)'!$B:$J,9,0), "")</f>
        <v/>
      </c>
      <c r="W29" s="63"/>
      <c r="X29" s="63"/>
      <c r="Y29" s="75"/>
      <c r="Z29" s="56" t="str">
        <f t="array" ref="Z29">IF($Z$2 &lt;&gt; "",IFERROR(INDEX('FORMAL PROCUREMENT (IFB &amp; RFP)'!$B$7:$B$34,SMALL(IF('FORMAL PROCUREMENT (IFB &amp; RFP)'!$D$6:$I$334=$Z$2,ROW('FORMAL PROCUREMENT (IFB &amp; RFP)'!$B$7:$B$34)-ROW('FORMAL PROCUREMENT (IFB &amp; RFP)'!$B$7)+1),ROWS('FORMAL PROCUREMENT (IFB &amp; RFP)'!$B$7:'FORMAL PROCUREMENT (IFB &amp; RFP)'!$B32))),""),"")</f>
        <v/>
      </c>
      <c r="AA29" s="56" t="str">
        <f>IFERROR(VLOOKUP(Z29,'FORMAL PROCUREMENT (IFB &amp; RFP)'!$B:$J,9,0), "")</f>
        <v/>
      </c>
      <c r="AB29" s="63"/>
      <c r="AC29" s="63"/>
      <c r="AD29" s="75"/>
      <c r="AE29" s="82"/>
      <c r="AF29" s="82"/>
      <c r="AG29" s="82"/>
      <c r="AH29" s="82"/>
      <c r="AI29" s="82"/>
      <c r="AJ29" s="82"/>
      <c r="AK29" s="82"/>
      <c r="AL29" s="82"/>
    </row>
    <row r="30" spans="1:38" s="83" customFormat="1" ht="15.75" x14ac:dyDescent="0.25">
      <c r="A30" s="56" t="str">
        <f t="array" ref="A30">IF($A$2 &lt;&gt; "",IFERROR(INDEX('FORMAL PROCUREMENT (IFB &amp; RFP)'!$B$7:$B$34,SMALL(IF('FORMAL PROCUREMENT (IFB &amp; RFP)'!$D$6:$I$334=$A$2,ROW('FORMAL PROCUREMENT (IFB &amp; RFP)'!$B$7:$B$34)-ROW('FORMAL PROCUREMENT (IFB &amp; RFP)'!$B$7)+1),ROWS('FORMAL PROCUREMENT (IFB &amp; RFP)'!$B$7:'FORMAL PROCUREMENT (IFB &amp; RFP)'!$B33))),""),"")</f>
        <v/>
      </c>
      <c r="B30" s="56" t="str">
        <f>IFERROR(VLOOKUP(A30,'FORMAL PROCUREMENT (IFB &amp; RFP)'!$B:$J,9,0), "")</f>
        <v/>
      </c>
      <c r="C30" s="63"/>
      <c r="D30" s="63"/>
      <c r="E30" s="75"/>
      <c r="F30" s="56" t="str">
        <f t="array" ref="F30">IF($F$2 &lt;&gt; "",IFERROR(INDEX('FORMAL PROCUREMENT (IFB &amp; RFP)'!$B$7:$B$34,SMALL(IF('FORMAL PROCUREMENT (IFB &amp; RFP)'!$D$6:$I$334=$F$2,ROW('FORMAL PROCUREMENT (IFB &amp; RFP)'!$B$7:$B$34)-ROW('FORMAL PROCUREMENT (IFB &amp; RFP)'!$B$7)+1),ROWS('FORMAL PROCUREMENT (IFB &amp; RFP)'!$B$7:'FORMAL PROCUREMENT (IFB &amp; RFP)'!$B33))),""),"")</f>
        <v/>
      </c>
      <c r="G30" s="56" t="str">
        <f>IFERROR(VLOOKUP(F30,'FORMAL PROCUREMENT (IFB &amp; RFP)'!$B:$J,9,0), "")</f>
        <v/>
      </c>
      <c r="H30" s="63"/>
      <c r="I30" s="63"/>
      <c r="J30" s="75"/>
      <c r="K30" s="56" t="str">
        <f t="array" ref="K30">IF($K$2 &lt;&gt; "",IFERROR(INDEX('FORMAL PROCUREMENT (IFB &amp; RFP)'!$B$7:$B$34,SMALL(IF('FORMAL PROCUREMENT (IFB &amp; RFP)'!$D$6:$I$334=$K$2,ROW('FORMAL PROCUREMENT (IFB &amp; RFP)'!$B$7:$B$34)-ROW('FORMAL PROCUREMENT (IFB &amp; RFP)'!$B$7)+1),ROWS('FORMAL PROCUREMENT (IFB &amp; RFP)'!$B$7:'FORMAL PROCUREMENT (IFB &amp; RFP)'!$B33))),""),"")</f>
        <v/>
      </c>
      <c r="L30" s="56" t="str">
        <f>IFERROR(VLOOKUP(K30,'FORMAL PROCUREMENT (IFB &amp; RFP)'!$B:$J,9,0), "")</f>
        <v/>
      </c>
      <c r="M30" s="63"/>
      <c r="N30" s="63"/>
      <c r="O30" s="75"/>
      <c r="P30" s="56" t="str">
        <f t="array" ref="P30">IF($P$2 &lt;&gt; "",IFERROR(INDEX('FORMAL PROCUREMENT (IFB &amp; RFP)'!$B$7:$B$34,SMALL(IF('FORMAL PROCUREMENT (IFB &amp; RFP)'!$D$6:$I$334=$P$2,ROW('FORMAL PROCUREMENT (IFB &amp; RFP)'!$B$7:$B$34)-ROW('FORMAL PROCUREMENT (IFB &amp; RFP)'!$B$7)+1),ROWS('FORMAL PROCUREMENT (IFB &amp; RFP)'!$B$7:'FORMAL PROCUREMENT (IFB &amp; RFP)'!$B33))),""),"")</f>
        <v/>
      </c>
      <c r="Q30" s="56" t="str">
        <f>IFERROR(VLOOKUP(P30,'FORMAL PROCUREMENT (IFB &amp; RFP)'!$B:$J,9,0), "")</f>
        <v/>
      </c>
      <c r="R30" s="63"/>
      <c r="S30" s="63"/>
      <c r="T30" s="75"/>
      <c r="U30" s="56" t="str">
        <f t="array" ref="U30">IF($U$2 &lt;&gt; "",IFERROR(INDEX('FORMAL PROCUREMENT (IFB &amp; RFP)'!$B$7:$B$34,SMALL(IF('FORMAL PROCUREMENT (IFB &amp; RFP)'!$D$6:$I$334=$U$2,ROW('FORMAL PROCUREMENT (IFB &amp; RFP)'!$B$7:$B$34)-ROW('FORMAL PROCUREMENT (IFB &amp; RFP)'!$B$7)+1),ROWS('FORMAL PROCUREMENT (IFB &amp; RFP)'!$B$7:'FORMAL PROCUREMENT (IFB &amp; RFP)'!$B33))),""),"")</f>
        <v/>
      </c>
      <c r="V30" s="56" t="str">
        <f>IFERROR(VLOOKUP(U30,'FORMAL PROCUREMENT (IFB &amp; RFP)'!$B:$J,9,0), "")</f>
        <v/>
      </c>
      <c r="W30" s="63"/>
      <c r="X30" s="63"/>
      <c r="Y30" s="75"/>
      <c r="Z30" s="56" t="str">
        <f t="array" ref="Z30">IF($Z$2 &lt;&gt; "",IFERROR(INDEX('FORMAL PROCUREMENT (IFB &amp; RFP)'!$B$7:$B$34,SMALL(IF('FORMAL PROCUREMENT (IFB &amp; RFP)'!$D$6:$I$334=$Z$2,ROW('FORMAL PROCUREMENT (IFB &amp; RFP)'!$B$7:$B$34)-ROW('FORMAL PROCUREMENT (IFB &amp; RFP)'!$B$7)+1),ROWS('FORMAL PROCUREMENT (IFB &amp; RFP)'!$B$7:'FORMAL PROCUREMENT (IFB &amp; RFP)'!$B33))),""),"")</f>
        <v/>
      </c>
      <c r="AA30" s="56" t="str">
        <f>IFERROR(VLOOKUP(Z30,'FORMAL PROCUREMENT (IFB &amp; RFP)'!$B:$J,9,0), "")</f>
        <v/>
      </c>
      <c r="AB30" s="63"/>
      <c r="AC30" s="63"/>
      <c r="AD30" s="75"/>
      <c r="AE30" s="82"/>
      <c r="AF30" s="82"/>
      <c r="AG30" s="82"/>
      <c r="AH30" s="82"/>
      <c r="AI30" s="82"/>
      <c r="AJ30" s="82"/>
      <c r="AK30" s="82"/>
      <c r="AL30" s="82"/>
    </row>
    <row r="31" spans="1:38" s="83" customFormat="1" ht="15.75" x14ac:dyDescent="0.25">
      <c r="A31" s="56" t="str">
        <f t="array" ref="A31">IF($A$2 &lt;&gt; "",IFERROR(INDEX('FORMAL PROCUREMENT (IFB &amp; RFP)'!$B$7:$B$34,SMALL(IF('FORMAL PROCUREMENT (IFB &amp; RFP)'!$D$6:$I$334=$A$2,ROW('FORMAL PROCUREMENT (IFB &amp; RFP)'!$B$7:$B$34)-ROW('FORMAL PROCUREMENT (IFB &amp; RFP)'!$B$7)+1),ROWS('FORMAL PROCUREMENT (IFB &amp; RFP)'!$B$7:'FORMAL PROCUREMENT (IFB &amp; RFP)'!$B34))),""),"")</f>
        <v/>
      </c>
      <c r="B31" s="56" t="str">
        <f>IFERROR(VLOOKUP(A31,'FORMAL PROCUREMENT (IFB &amp; RFP)'!$B:$J,9,0), "")</f>
        <v/>
      </c>
      <c r="C31" s="63"/>
      <c r="D31" s="63"/>
      <c r="E31" s="75"/>
      <c r="F31" s="56" t="str">
        <f t="array" ref="F31">IF($F$2 &lt;&gt; "",IFERROR(INDEX('FORMAL PROCUREMENT (IFB &amp; RFP)'!$B$7:$B$34,SMALL(IF('FORMAL PROCUREMENT (IFB &amp; RFP)'!$D$6:$I$334=$F$2,ROW('FORMAL PROCUREMENT (IFB &amp; RFP)'!$B$7:$B$34)-ROW('FORMAL PROCUREMENT (IFB &amp; RFP)'!$B$7)+1),ROWS('FORMAL PROCUREMENT (IFB &amp; RFP)'!$B$7:'FORMAL PROCUREMENT (IFB &amp; RFP)'!$B34))),""),"")</f>
        <v/>
      </c>
      <c r="G31" s="56" t="str">
        <f>IFERROR(VLOOKUP(F31,'FORMAL PROCUREMENT (IFB &amp; RFP)'!$B:$J,9,0), "")</f>
        <v/>
      </c>
      <c r="H31" s="63"/>
      <c r="I31" s="63"/>
      <c r="J31" s="75"/>
      <c r="K31" s="56" t="str">
        <f t="array" ref="K31">IF($K$2 &lt;&gt; "",IFERROR(INDEX('FORMAL PROCUREMENT (IFB &amp; RFP)'!$B$7:$B$34,SMALL(IF('FORMAL PROCUREMENT (IFB &amp; RFP)'!$D$6:$I$334=$K$2,ROW('FORMAL PROCUREMENT (IFB &amp; RFP)'!$B$7:$B$34)-ROW('FORMAL PROCUREMENT (IFB &amp; RFP)'!$B$7)+1),ROWS('FORMAL PROCUREMENT (IFB &amp; RFP)'!$B$7:'FORMAL PROCUREMENT (IFB &amp; RFP)'!$B34))),""),"")</f>
        <v/>
      </c>
      <c r="L31" s="56" t="str">
        <f>IFERROR(VLOOKUP(K31,'FORMAL PROCUREMENT (IFB &amp; RFP)'!$B:$J,9,0), "")</f>
        <v/>
      </c>
      <c r="M31" s="63"/>
      <c r="N31" s="63"/>
      <c r="O31" s="75"/>
      <c r="P31" s="56" t="str">
        <f t="array" ref="P31">IF($P$2 &lt;&gt; "",IFERROR(INDEX('FORMAL PROCUREMENT (IFB &amp; RFP)'!$B$7:$B$34,SMALL(IF('FORMAL PROCUREMENT (IFB &amp; RFP)'!$D$6:$I$334=$P$2,ROW('FORMAL PROCUREMENT (IFB &amp; RFP)'!$B$7:$B$34)-ROW('FORMAL PROCUREMENT (IFB &amp; RFP)'!$B$7)+1),ROWS('FORMAL PROCUREMENT (IFB &amp; RFP)'!$B$7:'FORMAL PROCUREMENT (IFB &amp; RFP)'!$B34))),""),"")</f>
        <v/>
      </c>
      <c r="Q31" s="56" t="str">
        <f>IFERROR(VLOOKUP(P31,'FORMAL PROCUREMENT (IFB &amp; RFP)'!$B:$J,9,0), "")</f>
        <v/>
      </c>
      <c r="R31" s="63"/>
      <c r="S31" s="63"/>
      <c r="T31" s="75"/>
      <c r="U31" s="56" t="str">
        <f t="array" ref="U31">IF($U$2 &lt;&gt; "",IFERROR(INDEX('FORMAL PROCUREMENT (IFB &amp; RFP)'!$B$7:$B$34,SMALL(IF('FORMAL PROCUREMENT (IFB &amp; RFP)'!$D$6:$I$334=$U$2,ROW('FORMAL PROCUREMENT (IFB &amp; RFP)'!$B$7:$B$34)-ROW('FORMAL PROCUREMENT (IFB &amp; RFP)'!$B$7)+1),ROWS('FORMAL PROCUREMENT (IFB &amp; RFP)'!$B$7:'FORMAL PROCUREMENT (IFB &amp; RFP)'!$B34))),""),"")</f>
        <v/>
      </c>
      <c r="V31" s="56" t="str">
        <f>IFERROR(VLOOKUP(U31,'FORMAL PROCUREMENT (IFB &amp; RFP)'!$B:$J,9,0), "")</f>
        <v/>
      </c>
      <c r="W31" s="63"/>
      <c r="X31" s="63"/>
      <c r="Y31" s="75"/>
      <c r="Z31" s="56" t="str">
        <f t="array" ref="Z31">IF($Z$2 &lt;&gt; "",IFERROR(INDEX('FORMAL PROCUREMENT (IFB &amp; RFP)'!$B$7:$B$34,SMALL(IF('FORMAL PROCUREMENT (IFB &amp; RFP)'!$D$6:$I$334=$Z$2,ROW('FORMAL PROCUREMENT (IFB &amp; RFP)'!$B$7:$B$34)-ROW('FORMAL PROCUREMENT (IFB &amp; RFP)'!$B$7)+1),ROWS('FORMAL PROCUREMENT (IFB &amp; RFP)'!$B$7:'FORMAL PROCUREMENT (IFB &amp; RFP)'!$B34))),""),"")</f>
        <v/>
      </c>
      <c r="AA31" s="56" t="str">
        <f>IFERROR(VLOOKUP(Z31,'FORMAL PROCUREMENT (IFB &amp; RFP)'!$B:$J,9,0), "")</f>
        <v/>
      </c>
      <c r="AB31" s="63"/>
      <c r="AC31" s="63"/>
      <c r="AD31" s="75"/>
      <c r="AE31" s="82"/>
      <c r="AF31" s="82"/>
      <c r="AG31" s="82"/>
      <c r="AH31" s="82"/>
      <c r="AI31" s="82"/>
      <c r="AJ31" s="82"/>
      <c r="AK31" s="82"/>
      <c r="AL31" s="82"/>
    </row>
    <row r="32" spans="1:38" s="83" customFormat="1" ht="15.75" x14ac:dyDescent="0.25">
      <c r="A32" s="56" t="str">
        <f t="array" ref="A32">IF($A$2 &lt;&gt; "",IFERROR(INDEX('FORMAL PROCUREMENT (IFB &amp; RFP)'!$B$7:$B$34,SMALL(IF('FORMAL PROCUREMENT (IFB &amp; RFP)'!$D$6:$I$334=$A$2,ROW('FORMAL PROCUREMENT (IFB &amp; RFP)'!$B$7:$B$34)-ROW('FORMAL PROCUREMENT (IFB &amp; RFP)'!$B$7)+1),ROWS('FORMAL PROCUREMENT (IFB &amp; RFP)'!$B$7:'FORMAL PROCUREMENT (IFB &amp; RFP)'!$B35))),""),"")</f>
        <v/>
      </c>
      <c r="B32" s="56" t="str">
        <f>IFERROR(VLOOKUP(A32,'FORMAL PROCUREMENT (IFB &amp; RFP)'!$B:$J,9,0), "")</f>
        <v/>
      </c>
      <c r="C32" s="63"/>
      <c r="D32" s="63"/>
      <c r="E32" s="75"/>
      <c r="F32" s="56" t="str">
        <f t="array" ref="F32">IF($F$2 &lt;&gt; "",IFERROR(INDEX('FORMAL PROCUREMENT (IFB &amp; RFP)'!$B$7:$B$34,SMALL(IF('FORMAL PROCUREMENT (IFB &amp; RFP)'!$D$6:$I$334=$F$2,ROW('FORMAL PROCUREMENT (IFB &amp; RFP)'!$B$7:$B$34)-ROW('FORMAL PROCUREMENT (IFB &amp; RFP)'!$B$7)+1),ROWS('FORMAL PROCUREMENT (IFB &amp; RFP)'!$B$7:'FORMAL PROCUREMENT (IFB &amp; RFP)'!$B35))),""),"")</f>
        <v/>
      </c>
      <c r="G32" s="56" t="str">
        <f>IFERROR(VLOOKUP(F32,'FORMAL PROCUREMENT (IFB &amp; RFP)'!$B:$J,9,0), "")</f>
        <v/>
      </c>
      <c r="H32" s="63"/>
      <c r="I32" s="63"/>
      <c r="J32" s="75"/>
      <c r="K32" s="56" t="str">
        <f t="array" ref="K32">IF($K$2 &lt;&gt; "",IFERROR(INDEX('FORMAL PROCUREMENT (IFB &amp; RFP)'!$B$7:$B$34,SMALL(IF('FORMAL PROCUREMENT (IFB &amp; RFP)'!$D$6:$I$334=$K$2,ROW('FORMAL PROCUREMENT (IFB &amp; RFP)'!$B$7:$B$34)-ROW('FORMAL PROCUREMENT (IFB &amp; RFP)'!$B$7)+1),ROWS('FORMAL PROCUREMENT (IFB &amp; RFP)'!$B$7:'FORMAL PROCUREMENT (IFB &amp; RFP)'!$B35))),""),"")</f>
        <v/>
      </c>
      <c r="L32" s="56" t="str">
        <f>IFERROR(VLOOKUP(K32,'FORMAL PROCUREMENT (IFB &amp; RFP)'!$B:$J,9,0), "")</f>
        <v/>
      </c>
      <c r="M32" s="63"/>
      <c r="N32" s="63"/>
      <c r="O32" s="75"/>
      <c r="P32" s="56" t="str">
        <f t="array" ref="P32">IF($P$2 &lt;&gt; "",IFERROR(INDEX('FORMAL PROCUREMENT (IFB &amp; RFP)'!$B$7:$B$34,SMALL(IF('FORMAL PROCUREMENT (IFB &amp; RFP)'!$D$6:$I$334=$P$2,ROW('FORMAL PROCUREMENT (IFB &amp; RFP)'!$B$7:$B$34)-ROW('FORMAL PROCUREMENT (IFB &amp; RFP)'!$B$7)+1),ROWS('FORMAL PROCUREMENT (IFB &amp; RFP)'!$B$7:'FORMAL PROCUREMENT (IFB &amp; RFP)'!$B35))),""),"")</f>
        <v/>
      </c>
      <c r="Q32" s="56" t="str">
        <f>IFERROR(VLOOKUP(P32,'FORMAL PROCUREMENT (IFB &amp; RFP)'!$B:$J,9,0), "")</f>
        <v/>
      </c>
      <c r="R32" s="63"/>
      <c r="S32" s="63"/>
      <c r="T32" s="75"/>
      <c r="U32" s="56" t="str">
        <f t="array" ref="U32">IF($U$2 &lt;&gt; "",IFERROR(INDEX('FORMAL PROCUREMENT (IFB &amp; RFP)'!$B$7:$B$34,SMALL(IF('FORMAL PROCUREMENT (IFB &amp; RFP)'!$D$6:$I$334=$U$2,ROW('FORMAL PROCUREMENT (IFB &amp; RFP)'!$B$7:$B$34)-ROW('FORMAL PROCUREMENT (IFB &amp; RFP)'!$B$7)+1),ROWS('FORMAL PROCUREMENT (IFB &amp; RFP)'!$B$7:'FORMAL PROCUREMENT (IFB &amp; RFP)'!$B35))),""),"")</f>
        <v/>
      </c>
      <c r="V32" s="56" t="str">
        <f>IFERROR(VLOOKUP(U32,'FORMAL PROCUREMENT (IFB &amp; RFP)'!$B:$J,9,0), "")</f>
        <v/>
      </c>
      <c r="W32" s="63"/>
      <c r="X32" s="63"/>
      <c r="Y32" s="75"/>
      <c r="Z32" s="56" t="str">
        <f t="array" ref="Z32">IF($Z$2 &lt;&gt; "",IFERROR(INDEX('FORMAL PROCUREMENT (IFB &amp; RFP)'!$B$7:$B$34,SMALL(IF('FORMAL PROCUREMENT (IFB &amp; RFP)'!$D$6:$I$334=$Z$2,ROW('FORMAL PROCUREMENT (IFB &amp; RFP)'!$B$7:$B$34)-ROW('FORMAL PROCUREMENT (IFB &amp; RFP)'!$B$7)+1),ROWS('FORMAL PROCUREMENT (IFB &amp; RFP)'!$B$7:'FORMAL PROCUREMENT (IFB &amp; RFP)'!$B35))),""),"")</f>
        <v/>
      </c>
      <c r="AA32" s="56" t="str">
        <f>IFERROR(VLOOKUP(Z32,'FORMAL PROCUREMENT (IFB &amp; RFP)'!$B:$J,9,0), "")</f>
        <v/>
      </c>
      <c r="AB32" s="63"/>
      <c r="AC32" s="63"/>
      <c r="AD32" s="75"/>
      <c r="AE32" s="82"/>
      <c r="AF32" s="82"/>
      <c r="AG32" s="82"/>
      <c r="AH32" s="82"/>
      <c r="AI32" s="82"/>
      <c r="AJ32" s="82"/>
      <c r="AK32" s="82"/>
      <c r="AL32" s="82"/>
    </row>
    <row r="33" spans="1:38" s="83" customFormat="1" ht="15.75" x14ac:dyDescent="0.25">
      <c r="A33" s="56" t="str">
        <f t="array" ref="A33">IF($A$2 &lt;&gt; "",IFERROR(INDEX('FORMAL PROCUREMENT (IFB &amp; RFP)'!$B$7:$B$34,SMALL(IF('FORMAL PROCUREMENT (IFB &amp; RFP)'!$D$6:$I$334=$A$2,ROW('FORMAL PROCUREMENT (IFB &amp; RFP)'!$B$7:$B$34)-ROW('FORMAL PROCUREMENT (IFB &amp; RFP)'!$B$7)+1),ROWS('FORMAL PROCUREMENT (IFB &amp; RFP)'!$B$7:'FORMAL PROCUREMENT (IFB &amp; RFP)'!$B36))),""),"")</f>
        <v/>
      </c>
      <c r="B33" s="56" t="str">
        <f>IFERROR(VLOOKUP(A33,'FORMAL PROCUREMENT (IFB &amp; RFP)'!$B:$J,9,0), "")</f>
        <v/>
      </c>
      <c r="C33" s="63"/>
      <c r="D33" s="63"/>
      <c r="E33" s="75"/>
      <c r="F33" s="56" t="str">
        <f t="array" ref="F33">IF($F$2 &lt;&gt; "",IFERROR(INDEX('FORMAL PROCUREMENT (IFB &amp; RFP)'!$B$7:$B$34,SMALL(IF('FORMAL PROCUREMENT (IFB &amp; RFP)'!$D$6:$I$334=$F$2,ROW('FORMAL PROCUREMENT (IFB &amp; RFP)'!$B$7:$B$34)-ROW('FORMAL PROCUREMENT (IFB &amp; RFP)'!$B$7)+1),ROWS('FORMAL PROCUREMENT (IFB &amp; RFP)'!$B$7:'FORMAL PROCUREMENT (IFB &amp; RFP)'!$B36))),""),"")</f>
        <v/>
      </c>
      <c r="G33" s="56" t="str">
        <f>IFERROR(VLOOKUP(F33,'FORMAL PROCUREMENT (IFB &amp; RFP)'!$B:$J,9,0), "")</f>
        <v/>
      </c>
      <c r="H33" s="63"/>
      <c r="I33" s="63"/>
      <c r="J33" s="75"/>
      <c r="K33" s="56" t="str">
        <f t="array" ref="K33">IF($K$2 &lt;&gt; "",IFERROR(INDEX('FORMAL PROCUREMENT (IFB &amp; RFP)'!$B$7:$B$34,SMALL(IF('FORMAL PROCUREMENT (IFB &amp; RFP)'!$D$6:$I$334=$K$2,ROW('FORMAL PROCUREMENT (IFB &amp; RFP)'!$B$7:$B$34)-ROW('FORMAL PROCUREMENT (IFB &amp; RFP)'!$B$7)+1),ROWS('FORMAL PROCUREMENT (IFB &amp; RFP)'!$B$7:'FORMAL PROCUREMENT (IFB &amp; RFP)'!$A36))),""),"")</f>
        <v/>
      </c>
      <c r="L33" s="56" t="str">
        <f>IFERROR(VLOOKUP(K33,'FORMAL PROCUREMENT (IFB &amp; RFP)'!$B:$J,9,0), "")</f>
        <v/>
      </c>
      <c r="M33" s="63"/>
      <c r="N33" s="63"/>
      <c r="O33" s="75"/>
      <c r="P33" s="56" t="str">
        <f t="array" ref="P33">IF($P$2 &lt;&gt; "",IFERROR(INDEX('FORMAL PROCUREMENT (IFB &amp; RFP)'!$B$7:$B$34,SMALL(IF('FORMAL PROCUREMENT (IFB &amp; RFP)'!$D$6:$I$334=$P$2,ROW('FORMAL PROCUREMENT (IFB &amp; RFP)'!$B$7:$B$34)-ROW('FORMAL PROCUREMENT (IFB &amp; RFP)'!$B$7)+1),ROWS('FORMAL PROCUREMENT (IFB &amp; RFP)'!$B$7:'FORMAL PROCUREMENT (IFB &amp; RFP)'!$A36))),""),"")</f>
        <v/>
      </c>
      <c r="Q33" s="56" t="str">
        <f>IFERROR(VLOOKUP(P33,'FORMAL PROCUREMENT (IFB &amp; RFP)'!$B:$J,9,0), "")</f>
        <v/>
      </c>
      <c r="R33" s="63"/>
      <c r="S33" s="63"/>
      <c r="T33" s="75"/>
      <c r="U33" s="56" t="str">
        <f t="array" ref="U33">IF($U$2 &lt;&gt; "",IFERROR(INDEX('FORMAL PROCUREMENT (IFB &amp; RFP)'!$B$7:$B$34,SMALL(IF('FORMAL PROCUREMENT (IFB &amp; RFP)'!$D$6:$I$334=$U$2,ROW('FORMAL PROCUREMENT (IFB &amp; RFP)'!$B$7:$B$34)-ROW('FORMAL PROCUREMENT (IFB &amp; RFP)'!$B$7)+1),ROWS('FORMAL PROCUREMENT (IFB &amp; RFP)'!$B$7:'FORMAL PROCUREMENT (IFB &amp; RFP)'!$A36))),""),"")</f>
        <v/>
      </c>
      <c r="V33" s="56" t="str">
        <f>IFERROR(VLOOKUP(U33,'FORMAL PROCUREMENT (IFB &amp; RFP)'!$B:$J,9,0), "")</f>
        <v/>
      </c>
      <c r="W33" s="63"/>
      <c r="X33" s="63"/>
      <c r="Y33" s="75"/>
      <c r="Z33" s="56" t="str">
        <f t="array" ref="Z33">IF($Z$2 &lt;&gt; "",IFERROR(INDEX('FORMAL PROCUREMENT (IFB &amp; RFP)'!$B$7:$B$34,SMALL(IF('FORMAL PROCUREMENT (IFB &amp; RFP)'!$D$6:$I$334=$Z$2,ROW('FORMAL PROCUREMENT (IFB &amp; RFP)'!$B$7:$B$34)-ROW('FORMAL PROCUREMENT (IFB &amp; RFP)'!$B$7)+1),ROWS('FORMAL PROCUREMENT (IFB &amp; RFP)'!$B$7:'FORMAL PROCUREMENT (IFB &amp; RFP)'!$A36))),""),"")</f>
        <v/>
      </c>
      <c r="AA33" s="56" t="str">
        <f>IFERROR(VLOOKUP(Z33,'FORMAL PROCUREMENT (IFB &amp; RFP)'!$B:$J,9,0), "")</f>
        <v/>
      </c>
      <c r="AB33" s="63"/>
      <c r="AC33" s="63"/>
      <c r="AD33" s="75"/>
      <c r="AE33" s="82"/>
      <c r="AF33" s="82"/>
      <c r="AG33" s="82"/>
      <c r="AH33" s="82"/>
      <c r="AI33" s="82"/>
      <c r="AJ33" s="82"/>
      <c r="AK33" s="82"/>
      <c r="AL33" s="82"/>
    </row>
    <row r="34" spans="1:38" s="83" customFormat="1" ht="15.75" x14ac:dyDescent="0.25">
      <c r="A34" s="56" t="str">
        <f t="array" ref="A34">IF($A$2 &lt;&gt; "",IFERROR(INDEX('FORMAL PROCUREMENT (IFB &amp; RFP)'!$B$7:$B$34,SMALL(IF('FORMAL PROCUREMENT (IFB &amp; RFP)'!$D$6:$I$334=$A$2,ROW('FORMAL PROCUREMENT (IFB &amp; RFP)'!$B$7:$B$34)-ROW('FORMAL PROCUREMENT (IFB &amp; RFP)'!$B$7)+1),ROWS('FORMAL PROCUREMENT (IFB &amp; RFP)'!$B$7:'FORMAL PROCUREMENT (IFB &amp; RFP)'!$B37))),""),"")</f>
        <v/>
      </c>
      <c r="B34" s="56" t="str">
        <f>IFERROR(VLOOKUP(A34,'FORMAL PROCUREMENT (IFB &amp; RFP)'!$B:$J,9,0), "")</f>
        <v/>
      </c>
      <c r="C34" s="63"/>
      <c r="D34" s="63"/>
      <c r="E34" s="75"/>
      <c r="F34" s="56" t="str">
        <f t="array" ref="F34">IF($F$2 &lt;&gt; "",IFERROR(INDEX('FORMAL PROCUREMENT (IFB &amp; RFP)'!$B$7:$B$34,SMALL(IF('FORMAL PROCUREMENT (IFB &amp; RFP)'!$D$6:$I$334=$F$2,ROW('FORMAL PROCUREMENT (IFB &amp; RFP)'!$B$7:$B$34)-ROW('FORMAL PROCUREMENT (IFB &amp; RFP)'!$B$7)+1),ROWS('FORMAL PROCUREMENT (IFB &amp; RFP)'!$B$7:'FORMAL PROCUREMENT (IFB &amp; RFP)'!$B37))),""),"")</f>
        <v/>
      </c>
      <c r="G34" s="56" t="str">
        <f>IFERROR(VLOOKUP(F34,'FORMAL PROCUREMENT (IFB &amp; RFP)'!$B:$J,9,0), "")</f>
        <v/>
      </c>
      <c r="H34" s="63"/>
      <c r="I34" s="63"/>
      <c r="J34" s="75"/>
      <c r="K34" s="56" t="str">
        <f t="array" ref="K34">IF($K$2 &lt;&gt; "",IFERROR(INDEX('FORMAL PROCUREMENT (IFB &amp; RFP)'!$B$7:$B$34,SMALL(IF('FORMAL PROCUREMENT (IFB &amp; RFP)'!$D$6:$I$334=$K$2,ROW('FORMAL PROCUREMENT (IFB &amp; RFP)'!$B$7:$B$34)-ROW('FORMAL PROCUREMENT (IFB &amp; RFP)'!$B$7)+1),ROWS('FORMAL PROCUREMENT (IFB &amp; RFP)'!$B$7:'FORMAL PROCUREMENT (IFB &amp; RFP)'!$B37))),""),"")</f>
        <v/>
      </c>
      <c r="L34" s="56" t="str">
        <f>IFERROR(VLOOKUP(K34,'FORMAL PROCUREMENT (IFB &amp; RFP)'!$B:$J,9,0), "")</f>
        <v/>
      </c>
      <c r="M34" s="63"/>
      <c r="N34" s="63"/>
      <c r="O34" s="75"/>
      <c r="P34" s="56" t="str">
        <f t="array" ref="P34">IF($P$2 &lt;&gt; "",IFERROR(INDEX('FORMAL PROCUREMENT (IFB &amp; RFP)'!$B$7:$B$34,SMALL(IF('FORMAL PROCUREMENT (IFB &amp; RFP)'!$D$6:$I$334=$P$2,ROW('FORMAL PROCUREMENT (IFB &amp; RFP)'!$B$7:$B$34)-ROW('FORMAL PROCUREMENT (IFB &amp; RFP)'!$B$7)+1),ROWS('FORMAL PROCUREMENT (IFB &amp; RFP)'!$B$7:'FORMAL PROCUREMENT (IFB &amp; RFP)'!$B37))),""),"")</f>
        <v/>
      </c>
      <c r="Q34" s="56" t="str">
        <f>IFERROR(VLOOKUP(P34,'FORMAL PROCUREMENT (IFB &amp; RFP)'!$B:$J,9,0), "")</f>
        <v/>
      </c>
      <c r="R34" s="63"/>
      <c r="S34" s="63"/>
      <c r="T34" s="75"/>
      <c r="U34" s="56" t="str">
        <f t="array" ref="U34">IF($U$2 &lt;&gt; "",IFERROR(INDEX('FORMAL PROCUREMENT (IFB &amp; RFP)'!$B$7:$B$34,SMALL(IF('FORMAL PROCUREMENT (IFB &amp; RFP)'!$D$6:$I$334=$U$2,ROW('FORMAL PROCUREMENT (IFB &amp; RFP)'!$B$7:$B$34)-ROW('FORMAL PROCUREMENT (IFB &amp; RFP)'!$B$7)+1),ROWS('FORMAL PROCUREMENT (IFB &amp; RFP)'!$B$7:'FORMAL PROCUREMENT (IFB &amp; RFP)'!$B37))),""),"")</f>
        <v/>
      </c>
      <c r="V34" s="56" t="str">
        <f>IFERROR(VLOOKUP(U34,'FORMAL PROCUREMENT (IFB &amp; RFP)'!$B:$J,9,0), "")</f>
        <v/>
      </c>
      <c r="W34" s="63"/>
      <c r="X34" s="63"/>
      <c r="Y34" s="75"/>
      <c r="Z34" s="56" t="str">
        <f t="array" ref="Z34">IF($Z$2 &lt;&gt; "",IFERROR(INDEX('FORMAL PROCUREMENT (IFB &amp; RFP)'!$B$7:$B$34,SMALL(IF('FORMAL PROCUREMENT (IFB &amp; RFP)'!$D$6:$I$334=$Z$2,ROW('FORMAL PROCUREMENT (IFB &amp; RFP)'!$B$7:$B$34)-ROW('FORMAL PROCUREMENT (IFB &amp; RFP)'!$B$7)+1),ROWS('FORMAL PROCUREMENT (IFB &amp; RFP)'!$B$7:'FORMAL PROCUREMENT (IFB &amp; RFP)'!$B37))),""),"")</f>
        <v/>
      </c>
      <c r="AA34" s="56" t="str">
        <f>IFERROR(VLOOKUP(Z34,'FORMAL PROCUREMENT (IFB &amp; RFP)'!$B:$J,9,0), "")</f>
        <v/>
      </c>
      <c r="AB34" s="63"/>
      <c r="AC34" s="63"/>
      <c r="AD34" s="75"/>
      <c r="AE34" s="82"/>
      <c r="AF34" s="82"/>
      <c r="AG34" s="82"/>
      <c r="AH34" s="82"/>
      <c r="AI34" s="82"/>
      <c r="AJ34" s="82"/>
      <c r="AK34" s="82"/>
      <c r="AL34" s="82"/>
    </row>
    <row r="35" spans="1:38" s="83" customFormat="1" ht="15.75" x14ac:dyDescent="0.25">
      <c r="A35" s="56" t="str">
        <f t="array" ref="A35">IF($A$2 &lt;&gt; "",IFERROR(INDEX('FORMAL PROCUREMENT (IFB &amp; RFP)'!$B$7:$B$34,SMALL(IF('FORMAL PROCUREMENT (IFB &amp; RFP)'!$D$6:$I$334=$A$2,ROW('FORMAL PROCUREMENT (IFB &amp; RFP)'!$B$7:$B$34)-ROW('FORMAL PROCUREMENT (IFB &amp; RFP)'!$B$7)+1),ROWS('FORMAL PROCUREMENT (IFB &amp; RFP)'!$B$7:'FORMAL PROCUREMENT (IFB &amp; RFP)'!$B38))),""),"")</f>
        <v/>
      </c>
      <c r="B35" s="56" t="str">
        <f>IFERROR(VLOOKUP(A35,'FORMAL PROCUREMENT (IFB &amp; RFP)'!$B:$J,9,0), "")</f>
        <v/>
      </c>
      <c r="C35" s="63"/>
      <c r="D35" s="63"/>
      <c r="E35" s="75"/>
      <c r="F35" s="56" t="str">
        <f t="array" ref="F35">IF($F$2 &lt;&gt; "",IFERROR(INDEX('FORMAL PROCUREMENT (IFB &amp; RFP)'!$B$7:$B$34,SMALL(IF('FORMAL PROCUREMENT (IFB &amp; RFP)'!$D$6:$I$334=$F$2,ROW('FORMAL PROCUREMENT (IFB &amp; RFP)'!$B$7:$B$34)-ROW('FORMAL PROCUREMENT (IFB &amp; RFP)'!$B$7)+1),ROWS('FORMAL PROCUREMENT (IFB &amp; RFP)'!$B$7:'FORMAL PROCUREMENT (IFB &amp; RFP)'!$B38))),""),"")</f>
        <v/>
      </c>
      <c r="G35" s="56" t="str">
        <f>IFERROR(VLOOKUP(F35,'FORMAL PROCUREMENT (IFB &amp; RFP)'!$B:$J,9,0), "")</f>
        <v/>
      </c>
      <c r="H35" s="63"/>
      <c r="I35" s="63"/>
      <c r="J35" s="75"/>
      <c r="K35" s="56" t="str">
        <f t="array" ref="K35">IF($K$2 &lt;&gt; "",IFERROR(INDEX('FORMAL PROCUREMENT (IFB &amp; RFP)'!$B$7:$B$34,SMALL(IF('FORMAL PROCUREMENT (IFB &amp; RFP)'!$D$6:$I$334=$K$2,ROW('FORMAL PROCUREMENT (IFB &amp; RFP)'!$B$7:$B$34)-ROW('FORMAL PROCUREMENT (IFB &amp; RFP)'!$B$7)+1),ROWS('FORMAL PROCUREMENT (IFB &amp; RFP)'!$B$7:'FORMAL PROCUREMENT (IFB &amp; RFP)'!$B38))),""),"")</f>
        <v/>
      </c>
      <c r="L35" s="56" t="str">
        <f>IFERROR(VLOOKUP(K35,'FORMAL PROCUREMENT (IFB &amp; RFP)'!$B:$J,9,0), "")</f>
        <v/>
      </c>
      <c r="M35" s="63"/>
      <c r="N35" s="63"/>
      <c r="O35" s="75"/>
      <c r="P35" s="56" t="str">
        <f t="array" ref="P35">IF($P$2 &lt;&gt; "",IFERROR(INDEX('FORMAL PROCUREMENT (IFB &amp; RFP)'!$B$7:$B$34,SMALL(IF('FORMAL PROCUREMENT (IFB &amp; RFP)'!$D$6:$I$334=$P$2,ROW('FORMAL PROCUREMENT (IFB &amp; RFP)'!$B$7:$B$34)-ROW('FORMAL PROCUREMENT (IFB &amp; RFP)'!$B$7)+1),ROWS('FORMAL PROCUREMENT (IFB &amp; RFP)'!$B$7:'FORMAL PROCUREMENT (IFB &amp; RFP)'!$B38))),""),"")</f>
        <v/>
      </c>
      <c r="Q35" s="56" t="str">
        <f>IFERROR(VLOOKUP(P35,'FORMAL PROCUREMENT (IFB &amp; RFP)'!$B:$J,9,0), "")</f>
        <v/>
      </c>
      <c r="R35" s="63"/>
      <c r="S35" s="63"/>
      <c r="T35" s="75"/>
      <c r="U35" s="56" t="str">
        <f t="array" ref="U35">IF($U$2 &lt;&gt; "",IFERROR(INDEX('FORMAL PROCUREMENT (IFB &amp; RFP)'!$B$7:$B$34,SMALL(IF('FORMAL PROCUREMENT (IFB &amp; RFP)'!$D$6:$I$334=$U$2,ROW('FORMAL PROCUREMENT (IFB &amp; RFP)'!$B$7:$B$34)-ROW('FORMAL PROCUREMENT (IFB &amp; RFP)'!$B$7)+1),ROWS('FORMAL PROCUREMENT (IFB &amp; RFP)'!$B$7:'FORMAL PROCUREMENT (IFB &amp; RFP)'!$B38))),""),"")</f>
        <v/>
      </c>
      <c r="V35" s="56" t="str">
        <f>IFERROR(VLOOKUP(U35,'FORMAL PROCUREMENT (IFB &amp; RFP)'!$B:$J,9,0), "")</f>
        <v/>
      </c>
      <c r="W35" s="63"/>
      <c r="X35" s="63"/>
      <c r="Y35" s="75"/>
      <c r="Z35" s="56" t="str">
        <f t="array" ref="Z35">IF($Z$2 &lt;&gt; "",IFERROR(INDEX('FORMAL PROCUREMENT (IFB &amp; RFP)'!$B$7:$B$34,SMALL(IF('FORMAL PROCUREMENT (IFB &amp; RFP)'!$D$6:$I$334=$Z$2,ROW('FORMAL PROCUREMENT (IFB &amp; RFP)'!$B$7:$B$34)-ROW('FORMAL PROCUREMENT (IFB &amp; RFP)'!$B$7)+1),ROWS('FORMAL PROCUREMENT (IFB &amp; RFP)'!$B$7:'FORMAL PROCUREMENT (IFB &amp; RFP)'!$B38))),""),"")</f>
        <v/>
      </c>
      <c r="AA35" s="56" t="str">
        <f>IFERROR(VLOOKUP(Z35,'FORMAL PROCUREMENT (IFB &amp; RFP)'!$B:$J,9,0), "")</f>
        <v/>
      </c>
      <c r="AB35" s="63"/>
      <c r="AC35" s="63"/>
      <c r="AD35" s="75"/>
      <c r="AE35" s="82"/>
      <c r="AF35" s="82"/>
      <c r="AG35" s="82"/>
      <c r="AH35" s="82"/>
      <c r="AI35" s="82"/>
      <c r="AJ35" s="82"/>
      <c r="AK35" s="82"/>
      <c r="AL35" s="82"/>
    </row>
    <row r="36" spans="1:38" s="83" customFormat="1" ht="15.75" x14ac:dyDescent="0.25">
      <c r="A36" s="56" t="str">
        <f t="array" ref="A36">IF($A$2 &lt;&gt; "",IFERROR(INDEX('FORMAL PROCUREMENT (IFB &amp; RFP)'!$B$7:$B$34,SMALL(IF('FORMAL PROCUREMENT (IFB &amp; RFP)'!$D$6:$I$334=$A$2,ROW('FORMAL PROCUREMENT (IFB &amp; RFP)'!$B$7:$B$34)-ROW('FORMAL PROCUREMENT (IFB &amp; RFP)'!$B$7)+1),ROWS('FORMAL PROCUREMENT (IFB &amp; RFP)'!$B$7:'FORMAL PROCUREMENT (IFB &amp; RFP)'!$B39))),""),"")</f>
        <v/>
      </c>
      <c r="B36" s="56" t="str">
        <f>IFERROR(VLOOKUP(A36,'FORMAL PROCUREMENT (IFB &amp; RFP)'!$B:$J,9,0), "")</f>
        <v/>
      </c>
      <c r="C36" s="63"/>
      <c r="D36" s="63"/>
      <c r="E36" s="75"/>
      <c r="F36" s="56" t="str">
        <f t="array" ref="F36">IF($F$2 &lt;&gt; "",IFERROR(INDEX('FORMAL PROCUREMENT (IFB &amp; RFP)'!$B$7:$B$34,SMALL(IF('FORMAL PROCUREMENT (IFB &amp; RFP)'!$D$6:$I$334=$F$2,ROW('FORMAL PROCUREMENT (IFB &amp; RFP)'!$B$7:$B$34)-ROW('FORMAL PROCUREMENT (IFB &amp; RFP)'!$B$7)+1),ROWS('FORMAL PROCUREMENT (IFB &amp; RFP)'!$B$7:'FORMAL PROCUREMENT (IFB &amp; RFP)'!$B39))),""),"")</f>
        <v/>
      </c>
      <c r="G36" s="56" t="str">
        <f>IFERROR(VLOOKUP(F36,'FORMAL PROCUREMENT (IFB &amp; RFP)'!$B:$J,9,0), "")</f>
        <v/>
      </c>
      <c r="H36" s="63"/>
      <c r="I36" s="63"/>
      <c r="J36" s="75"/>
      <c r="K36" s="56" t="str">
        <f t="array" ref="K36">IF($K$2 &lt;&gt; "",IFERROR(INDEX('FORMAL PROCUREMENT (IFB &amp; RFP)'!$B$7:$B$34,SMALL(IF('FORMAL PROCUREMENT (IFB &amp; RFP)'!$D$6:$I$334=$K$2,ROW('FORMAL PROCUREMENT (IFB &amp; RFP)'!$B$7:$B$34)-ROW('FORMAL PROCUREMENT (IFB &amp; RFP)'!$B$7)+1),ROWS('FORMAL PROCUREMENT (IFB &amp; RFP)'!$B$7:'FORMAL PROCUREMENT (IFB &amp; RFP)'!$B39))),""),"")</f>
        <v/>
      </c>
      <c r="L36" s="56" t="str">
        <f>IFERROR(VLOOKUP(K36,'FORMAL PROCUREMENT (IFB &amp; RFP)'!$B:$J,9,0), "")</f>
        <v/>
      </c>
      <c r="M36" s="63"/>
      <c r="N36" s="63"/>
      <c r="O36" s="75"/>
      <c r="P36" s="56" t="str">
        <f t="array" ref="P36">IF($P$2 &lt;&gt; "",IFERROR(INDEX('FORMAL PROCUREMENT (IFB &amp; RFP)'!$B$7:$B$34,SMALL(IF('FORMAL PROCUREMENT (IFB &amp; RFP)'!$D$6:$I$334=$P$2,ROW('FORMAL PROCUREMENT (IFB &amp; RFP)'!$B$7:$B$34)-ROW('FORMAL PROCUREMENT (IFB &amp; RFP)'!$B$7)+1),ROWS('FORMAL PROCUREMENT (IFB &amp; RFP)'!$B$7:'FORMAL PROCUREMENT (IFB &amp; RFP)'!$B39))),""),"")</f>
        <v/>
      </c>
      <c r="Q36" s="56" t="str">
        <f>IFERROR(VLOOKUP(P36,'FORMAL PROCUREMENT (IFB &amp; RFP)'!$B:$J,9,0), "")</f>
        <v/>
      </c>
      <c r="R36" s="63"/>
      <c r="S36" s="63"/>
      <c r="T36" s="75"/>
      <c r="U36" s="56" t="str">
        <f t="array" ref="U36">IF($U$2 &lt;&gt; "",IFERROR(INDEX('FORMAL PROCUREMENT (IFB &amp; RFP)'!$B$7:$B$34,SMALL(IF('FORMAL PROCUREMENT (IFB &amp; RFP)'!$D$6:$I$334=$U$2,ROW('FORMAL PROCUREMENT (IFB &amp; RFP)'!$B$7:$B$34)-ROW('FORMAL PROCUREMENT (IFB &amp; RFP)'!$B$7)+1),ROWS('FORMAL PROCUREMENT (IFB &amp; RFP)'!$B$7:'FORMAL PROCUREMENT (IFB &amp; RFP)'!$B39))),""),"")</f>
        <v/>
      </c>
      <c r="V36" s="56" t="str">
        <f>IFERROR(VLOOKUP(U36,'FORMAL PROCUREMENT (IFB &amp; RFP)'!$B:$J,9,0), "")</f>
        <v/>
      </c>
      <c r="W36" s="63"/>
      <c r="X36" s="63"/>
      <c r="Y36" s="75"/>
      <c r="Z36" s="56" t="str">
        <f t="array" ref="Z36">IF($Z$2 &lt;&gt; "",IFERROR(INDEX('FORMAL PROCUREMENT (IFB &amp; RFP)'!$B$7:$B$34,SMALL(IF('FORMAL PROCUREMENT (IFB &amp; RFP)'!$D$6:$I$334=$Z$2,ROW('FORMAL PROCUREMENT (IFB &amp; RFP)'!$B$7:$B$34)-ROW('FORMAL PROCUREMENT (IFB &amp; RFP)'!$B$7)+1),ROWS('FORMAL PROCUREMENT (IFB &amp; RFP)'!$B$7:'FORMAL PROCUREMENT (IFB &amp; RFP)'!$B39))),""),"")</f>
        <v/>
      </c>
      <c r="AA36" s="56" t="str">
        <f>IFERROR(VLOOKUP(Z36,'FORMAL PROCUREMENT (IFB &amp; RFP)'!$B:$J,9,0), "")</f>
        <v/>
      </c>
      <c r="AB36" s="63"/>
      <c r="AC36" s="63"/>
      <c r="AD36" s="75"/>
      <c r="AE36" s="82"/>
      <c r="AF36" s="82"/>
      <c r="AG36" s="82"/>
      <c r="AH36" s="82"/>
      <c r="AI36" s="82"/>
      <c r="AJ36" s="82"/>
      <c r="AK36" s="82"/>
      <c r="AL36" s="82"/>
    </row>
    <row r="37" spans="1:38" s="83" customFormat="1" ht="15.75" x14ac:dyDescent="0.25">
      <c r="A37" s="56" t="str">
        <f t="array" ref="A37">IF($A$2 &lt;&gt; "",IFERROR(INDEX('FORMAL PROCUREMENT (IFB &amp; RFP)'!$B$7:$B$34,SMALL(IF('FORMAL PROCUREMENT (IFB &amp; RFP)'!$D$6:$I$334=$A$2,ROW('FORMAL PROCUREMENT (IFB &amp; RFP)'!$B$7:$B$34)-ROW('FORMAL PROCUREMENT (IFB &amp; RFP)'!$B$7)+1),ROWS('FORMAL PROCUREMENT (IFB &amp; RFP)'!$B$7:'FORMAL PROCUREMENT (IFB &amp; RFP)'!$B40))),""),"")</f>
        <v/>
      </c>
      <c r="B37" s="56" t="str">
        <f>IFERROR(VLOOKUP(A37,'FORMAL PROCUREMENT (IFB &amp; RFP)'!$B:$J,9,0), "")</f>
        <v/>
      </c>
      <c r="C37" s="63"/>
      <c r="D37" s="63"/>
      <c r="E37" s="75"/>
      <c r="F37" s="56" t="str">
        <f t="array" ref="F37">IF($F$2 &lt;&gt; "",IFERROR(INDEX('FORMAL PROCUREMENT (IFB &amp; RFP)'!$B$7:$B$34,SMALL(IF('FORMAL PROCUREMENT (IFB &amp; RFP)'!$D$6:$I$334=$F$2,ROW('FORMAL PROCUREMENT (IFB &amp; RFP)'!$B$7:$B$34)-ROW('FORMAL PROCUREMENT (IFB &amp; RFP)'!$B$7)+1),ROWS('FORMAL PROCUREMENT (IFB &amp; RFP)'!$B$7:'FORMAL PROCUREMENT (IFB &amp; RFP)'!$B40))),""),"")</f>
        <v/>
      </c>
      <c r="G37" s="56" t="str">
        <f>IFERROR(VLOOKUP(F37,'FORMAL PROCUREMENT (IFB &amp; RFP)'!$B:$J,9,0), "")</f>
        <v/>
      </c>
      <c r="H37" s="63"/>
      <c r="I37" s="63"/>
      <c r="J37" s="75"/>
      <c r="K37" s="56" t="str">
        <f t="array" ref="K37">IF($K$2 &lt;&gt; "",IFERROR(INDEX('FORMAL PROCUREMENT (IFB &amp; RFP)'!$B$7:$B$34,SMALL(IF('FORMAL PROCUREMENT (IFB &amp; RFP)'!$D$6:$I$334=$K$2,ROW('FORMAL PROCUREMENT (IFB &amp; RFP)'!$B$7:$B$34)-ROW('FORMAL PROCUREMENT (IFB &amp; RFP)'!$B$7)+1),ROWS('FORMAL PROCUREMENT (IFB &amp; RFP)'!$B$7:'FORMAL PROCUREMENT (IFB &amp; RFP)'!$B40))),""),"")</f>
        <v/>
      </c>
      <c r="L37" s="56" t="str">
        <f>IFERROR(VLOOKUP(K37,'FORMAL PROCUREMENT (IFB &amp; RFP)'!$B:$J,9,0), "")</f>
        <v/>
      </c>
      <c r="M37" s="63"/>
      <c r="N37" s="63"/>
      <c r="O37" s="75"/>
      <c r="P37" s="56" t="str">
        <f t="array" ref="P37">IF($P$2 &lt;&gt; "",IFERROR(INDEX('FORMAL PROCUREMENT (IFB &amp; RFP)'!$B$7:$B$34,SMALL(IF('FORMAL PROCUREMENT (IFB &amp; RFP)'!$D$6:$I$334=$P$2,ROW('FORMAL PROCUREMENT (IFB &amp; RFP)'!$B$7:$B$34)-ROW('FORMAL PROCUREMENT (IFB &amp; RFP)'!$B$7)+1),ROWS('FORMAL PROCUREMENT (IFB &amp; RFP)'!$B$7:'FORMAL PROCUREMENT (IFB &amp; RFP)'!$B40))),""),"")</f>
        <v/>
      </c>
      <c r="Q37" s="56" t="str">
        <f>IFERROR(VLOOKUP(P37,'FORMAL PROCUREMENT (IFB &amp; RFP)'!$B:$J,9,0), "")</f>
        <v/>
      </c>
      <c r="R37" s="63"/>
      <c r="S37" s="63"/>
      <c r="T37" s="75"/>
      <c r="U37" s="56" t="str">
        <f t="array" ref="U37">IF($U$2 &lt;&gt; "",IFERROR(INDEX('FORMAL PROCUREMENT (IFB &amp; RFP)'!$B$7:$B$34,SMALL(IF('FORMAL PROCUREMENT (IFB &amp; RFP)'!$D$6:$I$334=$U$2,ROW('FORMAL PROCUREMENT (IFB &amp; RFP)'!$B$7:$B$34)-ROW('FORMAL PROCUREMENT (IFB &amp; RFP)'!$B$7)+1),ROWS('FORMAL PROCUREMENT (IFB &amp; RFP)'!$B$7:'FORMAL PROCUREMENT (IFB &amp; RFP)'!$B40))),""),"")</f>
        <v/>
      </c>
      <c r="V37" s="56" t="str">
        <f>IFERROR(VLOOKUP(U37,'FORMAL PROCUREMENT (IFB &amp; RFP)'!$B:$J,9,0), "")</f>
        <v/>
      </c>
      <c r="W37" s="63"/>
      <c r="X37" s="63"/>
      <c r="Y37" s="75"/>
      <c r="Z37" s="56" t="str">
        <f t="array" ref="Z37">IF($Z$2 &lt;&gt; "",IFERROR(INDEX('FORMAL PROCUREMENT (IFB &amp; RFP)'!$B$7:$B$34,SMALL(IF('FORMAL PROCUREMENT (IFB &amp; RFP)'!$D$6:$I$334=$Z$2,ROW('FORMAL PROCUREMENT (IFB &amp; RFP)'!$B$7:$B$34)-ROW('FORMAL PROCUREMENT (IFB &amp; RFP)'!$B$7)+1),ROWS('FORMAL PROCUREMENT (IFB &amp; RFP)'!$B$7:'FORMAL PROCUREMENT (IFB &amp; RFP)'!$B40))),""),"")</f>
        <v/>
      </c>
      <c r="AA37" s="56" t="str">
        <f>IFERROR(VLOOKUP(Z37,'FORMAL PROCUREMENT (IFB &amp; RFP)'!$B:$J,9,0), "")</f>
        <v/>
      </c>
      <c r="AB37" s="63"/>
      <c r="AC37" s="63"/>
      <c r="AD37" s="75"/>
      <c r="AE37" s="82"/>
      <c r="AF37" s="82"/>
      <c r="AG37" s="82"/>
      <c r="AH37" s="82"/>
      <c r="AI37" s="82"/>
      <c r="AJ37" s="82"/>
      <c r="AK37" s="82"/>
      <c r="AL37" s="82"/>
    </row>
    <row r="38" spans="1:38" s="83" customFormat="1" ht="15.75" x14ac:dyDescent="0.25">
      <c r="A38" s="56" t="str">
        <f t="array" ref="A38">IF($A$2 &lt;&gt; "",IFERROR(INDEX('FORMAL PROCUREMENT (IFB &amp; RFP)'!$B$7:$B$34,SMALL(IF('FORMAL PROCUREMENT (IFB &amp; RFP)'!$D$6:$I$334=$A$2,ROW('FORMAL PROCUREMENT (IFB &amp; RFP)'!$B$7:$B$34)-ROW('FORMAL PROCUREMENT (IFB &amp; RFP)'!$B$7)+1),ROWS('FORMAL PROCUREMENT (IFB &amp; RFP)'!$B$7:'FORMAL PROCUREMENT (IFB &amp; RFP)'!$B41))),""),"")</f>
        <v/>
      </c>
      <c r="B38" s="56" t="str">
        <f>IFERROR(VLOOKUP(A38,'FORMAL PROCUREMENT (IFB &amp; RFP)'!$B:$J,9,0), "")</f>
        <v/>
      </c>
      <c r="C38" s="63"/>
      <c r="D38" s="63"/>
      <c r="E38" s="75"/>
      <c r="F38" s="56" t="str">
        <f t="array" ref="F38">IF($F$2 &lt;&gt; "",IFERROR(INDEX('FORMAL PROCUREMENT (IFB &amp; RFP)'!$B$7:$B$34,SMALL(IF('FORMAL PROCUREMENT (IFB &amp; RFP)'!$D$6:$I$334=$F$2,ROW('FORMAL PROCUREMENT (IFB &amp; RFP)'!$B$7:$B$34)-ROW('FORMAL PROCUREMENT (IFB &amp; RFP)'!$B$7)+1),ROWS('FORMAL PROCUREMENT (IFB &amp; RFP)'!$B$7:'FORMAL PROCUREMENT (IFB &amp; RFP)'!$B41))),""),"")</f>
        <v/>
      </c>
      <c r="G38" s="56" t="str">
        <f>IFERROR(VLOOKUP(F38,'FORMAL PROCUREMENT (IFB &amp; RFP)'!$B:$J,9,0), "")</f>
        <v/>
      </c>
      <c r="H38" s="63"/>
      <c r="I38" s="63"/>
      <c r="J38" s="75"/>
      <c r="K38" s="56" t="str">
        <f t="array" ref="K38">IF($K$2 &lt;&gt; "",IFERROR(INDEX('FORMAL PROCUREMENT (IFB &amp; RFP)'!$B$7:$B$34,SMALL(IF('FORMAL PROCUREMENT (IFB &amp; RFP)'!$D$6:$I$334=$K$2,ROW('FORMAL PROCUREMENT (IFB &amp; RFP)'!$B$7:$B$34)-ROW('FORMAL PROCUREMENT (IFB &amp; RFP)'!$B$7)+1),ROWS('FORMAL PROCUREMENT (IFB &amp; RFP)'!$B$7:'FORMAL PROCUREMENT (IFB &amp; RFP)'!$B41))),""),"")</f>
        <v/>
      </c>
      <c r="L38" s="56" t="str">
        <f>IFERROR(VLOOKUP(K38,'FORMAL PROCUREMENT (IFB &amp; RFP)'!$B:$J,9,0), "")</f>
        <v/>
      </c>
      <c r="M38" s="63"/>
      <c r="N38" s="63"/>
      <c r="O38" s="75"/>
      <c r="P38" s="56" t="str">
        <f t="array" ref="P38">IF($P$2 &lt;&gt; "",IFERROR(INDEX('FORMAL PROCUREMENT (IFB &amp; RFP)'!$B$7:$B$34,SMALL(IF('FORMAL PROCUREMENT (IFB &amp; RFP)'!$D$6:$I$334=$P$2,ROW('FORMAL PROCUREMENT (IFB &amp; RFP)'!$B$7:$B$34)-ROW('FORMAL PROCUREMENT (IFB &amp; RFP)'!$B$7)+1),ROWS('FORMAL PROCUREMENT (IFB &amp; RFP)'!$B$7:'FORMAL PROCUREMENT (IFB &amp; RFP)'!$B41))),""),"")</f>
        <v/>
      </c>
      <c r="Q38" s="56" t="str">
        <f>IFERROR(VLOOKUP(P38,'FORMAL PROCUREMENT (IFB &amp; RFP)'!$B:$J,9,0), "")</f>
        <v/>
      </c>
      <c r="R38" s="63"/>
      <c r="S38" s="63"/>
      <c r="T38" s="75"/>
      <c r="U38" s="56" t="str">
        <f t="array" ref="U38">IF($U$2 &lt;&gt; "",IFERROR(INDEX('FORMAL PROCUREMENT (IFB &amp; RFP)'!$B$7:$B$34,SMALL(IF('FORMAL PROCUREMENT (IFB &amp; RFP)'!$D$6:$I$334=$U$2,ROW('FORMAL PROCUREMENT (IFB &amp; RFP)'!$B$7:$B$34)-ROW('FORMAL PROCUREMENT (IFB &amp; RFP)'!$B$7)+1),ROWS('FORMAL PROCUREMENT (IFB &amp; RFP)'!$B$7:'FORMAL PROCUREMENT (IFB &amp; RFP)'!$B41))),""),"")</f>
        <v/>
      </c>
      <c r="V38" s="56" t="str">
        <f>IFERROR(VLOOKUP(U38,'FORMAL PROCUREMENT (IFB &amp; RFP)'!$B:$J,9,0), "")</f>
        <v/>
      </c>
      <c r="W38" s="63"/>
      <c r="X38" s="63"/>
      <c r="Y38" s="75"/>
      <c r="Z38" s="56" t="str">
        <f t="array" ref="Z38">IF($Z$2 &lt;&gt; "",IFERROR(INDEX('FORMAL PROCUREMENT (IFB &amp; RFP)'!$B$7:$B$34,SMALL(IF('FORMAL PROCUREMENT (IFB &amp; RFP)'!$D$6:$I$334=$Z$2,ROW('FORMAL PROCUREMENT (IFB &amp; RFP)'!$B$7:$B$34)-ROW('FORMAL PROCUREMENT (IFB &amp; RFP)'!$B$7)+1),ROWS('FORMAL PROCUREMENT (IFB &amp; RFP)'!$B$7:'FORMAL PROCUREMENT (IFB &amp; RFP)'!$B41))),""),"")</f>
        <v/>
      </c>
      <c r="AA38" s="56" t="str">
        <f>IFERROR(VLOOKUP(Z38,'FORMAL PROCUREMENT (IFB &amp; RFP)'!$B:$J,9,0), "")</f>
        <v/>
      </c>
      <c r="AB38" s="63"/>
      <c r="AC38" s="63"/>
      <c r="AD38" s="75"/>
      <c r="AE38" s="82"/>
      <c r="AF38" s="82"/>
      <c r="AG38" s="82"/>
      <c r="AH38" s="82"/>
      <c r="AI38" s="82"/>
      <c r="AJ38" s="82"/>
      <c r="AK38" s="82"/>
      <c r="AL38" s="82"/>
    </row>
    <row r="39" spans="1:38" s="83" customFormat="1" ht="15.75" x14ac:dyDescent="0.25">
      <c r="A39" s="56" t="str">
        <f t="array" ref="A39">IF($A$2 &lt;&gt; "",IFERROR(INDEX('FORMAL PROCUREMENT (IFB &amp; RFP)'!$B$7:$B$34,SMALL(IF('FORMAL PROCUREMENT (IFB &amp; RFP)'!$D$6:$I$334=$A$2,ROW('FORMAL PROCUREMENT (IFB &amp; RFP)'!$B$7:$B$34)-ROW('FORMAL PROCUREMENT (IFB &amp; RFP)'!$B$7)+1),ROWS('FORMAL PROCUREMENT (IFB &amp; RFP)'!$B$7:'FORMAL PROCUREMENT (IFB &amp; RFP)'!$B42))),""),"")</f>
        <v/>
      </c>
      <c r="B39" s="56" t="str">
        <f>IFERROR(VLOOKUP(A39,'FORMAL PROCUREMENT (IFB &amp; RFP)'!$B:$J,9,0), "")</f>
        <v/>
      </c>
      <c r="C39" s="63"/>
      <c r="D39" s="63"/>
      <c r="E39" s="75"/>
      <c r="F39" s="56" t="str">
        <f t="array" ref="F39">IF($F$2 &lt;&gt; "",IFERROR(INDEX('FORMAL PROCUREMENT (IFB &amp; RFP)'!$B$7:$B$34,SMALL(IF('FORMAL PROCUREMENT (IFB &amp; RFP)'!$D$6:$I$334=$F$2,ROW('FORMAL PROCUREMENT (IFB &amp; RFP)'!$B$7:$B$34)-ROW('FORMAL PROCUREMENT (IFB &amp; RFP)'!$B$7)+1),ROWS('FORMAL PROCUREMENT (IFB &amp; RFP)'!$B$7:'FORMAL PROCUREMENT (IFB &amp; RFP)'!$B42))),""),"")</f>
        <v/>
      </c>
      <c r="G39" s="56" t="str">
        <f>IFERROR(VLOOKUP(F39,'FORMAL PROCUREMENT (IFB &amp; RFP)'!$B:$J,9,0), "")</f>
        <v/>
      </c>
      <c r="H39" s="63"/>
      <c r="I39" s="63"/>
      <c r="J39" s="75"/>
      <c r="K39" s="56" t="str">
        <f t="array" ref="K39">IF($K$2 &lt;&gt; "",IFERROR(INDEX('FORMAL PROCUREMENT (IFB &amp; RFP)'!$B$7:$B$34,SMALL(IF('FORMAL PROCUREMENT (IFB &amp; RFP)'!$D$6:$I$334=$K$2,ROW('FORMAL PROCUREMENT (IFB &amp; RFP)'!$B$7:$B$34)-ROW('FORMAL PROCUREMENT (IFB &amp; RFP)'!$B$7)+1),ROWS('FORMAL PROCUREMENT (IFB &amp; RFP)'!$B$7:'FORMAL PROCUREMENT (IFB &amp; RFP)'!$B42))),""),"")</f>
        <v/>
      </c>
      <c r="L39" s="56" t="str">
        <f>IFERROR(VLOOKUP(K39,'FORMAL PROCUREMENT (IFB &amp; RFP)'!$B:$J,9,0), "")</f>
        <v/>
      </c>
      <c r="M39" s="63"/>
      <c r="N39" s="63"/>
      <c r="O39" s="75"/>
      <c r="P39" s="56" t="str">
        <f t="array" ref="P39">IF($P$2 &lt;&gt; "",IFERROR(INDEX('FORMAL PROCUREMENT (IFB &amp; RFP)'!$B$7:$B$34,SMALL(IF('FORMAL PROCUREMENT (IFB &amp; RFP)'!$D$6:$I$334=$P$2,ROW('FORMAL PROCUREMENT (IFB &amp; RFP)'!$B$7:$B$34)-ROW('FORMAL PROCUREMENT (IFB &amp; RFP)'!$B$7)+1),ROWS('FORMAL PROCUREMENT (IFB &amp; RFP)'!$B$7:'FORMAL PROCUREMENT (IFB &amp; RFP)'!$B42))),""),"")</f>
        <v/>
      </c>
      <c r="Q39" s="56" t="str">
        <f>IFERROR(VLOOKUP(P39,'FORMAL PROCUREMENT (IFB &amp; RFP)'!$B:$J,9,0), "")</f>
        <v/>
      </c>
      <c r="R39" s="63"/>
      <c r="S39" s="63"/>
      <c r="T39" s="75"/>
      <c r="U39" s="56" t="str">
        <f t="array" ref="U39">IF($U$2 &lt;&gt; "",IFERROR(INDEX('FORMAL PROCUREMENT (IFB &amp; RFP)'!$B$7:$B$34,SMALL(IF('FORMAL PROCUREMENT (IFB &amp; RFP)'!$D$6:$I$334=$U$2,ROW('FORMAL PROCUREMENT (IFB &amp; RFP)'!$B$7:$B$34)-ROW('FORMAL PROCUREMENT (IFB &amp; RFP)'!$B$7)+1),ROWS('FORMAL PROCUREMENT (IFB &amp; RFP)'!$B$7:'FORMAL PROCUREMENT (IFB &amp; RFP)'!$B42))),""),"")</f>
        <v/>
      </c>
      <c r="V39" s="56" t="str">
        <f>IFERROR(VLOOKUP(U39,'FORMAL PROCUREMENT (IFB &amp; RFP)'!$B:$J,9,0), "")</f>
        <v/>
      </c>
      <c r="W39" s="63"/>
      <c r="X39" s="63"/>
      <c r="Y39" s="75"/>
      <c r="Z39" s="56" t="str">
        <f t="array" ref="Z39">IF($Z$2 &lt;&gt; "",IFERROR(INDEX('FORMAL PROCUREMENT (IFB &amp; RFP)'!$B$7:$B$34,SMALL(IF('FORMAL PROCUREMENT (IFB &amp; RFP)'!$D$6:$I$334=$Z$2,ROW('FORMAL PROCUREMENT (IFB &amp; RFP)'!$B$7:$B$34)-ROW('FORMAL PROCUREMENT (IFB &amp; RFP)'!$B$7)+1),ROWS('FORMAL PROCUREMENT (IFB &amp; RFP)'!$B$7:'FORMAL PROCUREMENT (IFB &amp; RFP)'!$B42))),""),"")</f>
        <v/>
      </c>
      <c r="AA39" s="56" t="str">
        <f>IFERROR(VLOOKUP(Z39,'FORMAL PROCUREMENT (IFB &amp; RFP)'!$B:$J,9,0), "")</f>
        <v/>
      </c>
      <c r="AB39" s="63"/>
      <c r="AC39" s="63"/>
      <c r="AD39" s="75"/>
      <c r="AE39" s="82"/>
      <c r="AF39" s="82"/>
      <c r="AG39" s="82"/>
      <c r="AH39" s="82"/>
      <c r="AI39" s="82"/>
      <c r="AJ39" s="82"/>
      <c r="AK39" s="82"/>
      <c r="AL39" s="82"/>
    </row>
    <row r="40" spans="1:38" s="83" customFormat="1" ht="15.75" x14ac:dyDescent="0.25">
      <c r="A40" s="56" t="str">
        <f t="array" ref="A40">IF($A$2 &lt;&gt; "",IFERROR(INDEX('FORMAL PROCUREMENT (IFB &amp; RFP)'!$B$7:$B$34,SMALL(IF('FORMAL PROCUREMENT (IFB &amp; RFP)'!$D$6:$I$334=$A$2,ROW('FORMAL PROCUREMENT (IFB &amp; RFP)'!$B$7:$B$34)-ROW('FORMAL PROCUREMENT (IFB &amp; RFP)'!$B$7)+1),ROWS('FORMAL PROCUREMENT (IFB &amp; RFP)'!$B$7:'FORMAL PROCUREMENT (IFB &amp; RFP)'!$B43))),""),"")</f>
        <v/>
      </c>
      <c r="B40" s="56" t="str">
        <f>IFERROR(VLOOKUP(A40,'FORMAL PROCUREMENT (IFB &amp; RFP)'!$B:$J,9,0), "")</f>
        <v/>
      </c>
      <c r="C40" s="63"/>
      <c r="D40" s="63"/>
      <c r="E40" s="75"/>
      <c r="F40" s="56" t="str">
        <f t="array" ref="F40">IF($F$2 &lt;&gt; "",IFERROR(INDEX('FORMAL PROCUREMENT (IFB &amp; RFP)'!$B$7:$B$34,SMALL(IF('FORMAL PROCUREMENT (IFB &amp; RFP)'!$D$6:$I$334=$F$2,ROW('FORMAL PROCUREMENT (IFB &amp; RFP)'!$B$7:$B$34)-ROW('FORMAL PROCUREMENT (IFB &amp; RFP)'!$B$7)+1),ROWS('FORMAL PROCUREMENT (IFB &amp; RFP)'!$B$7:'FORMAL PROCUREMENT (IFB &amp; RFP)'!$B43))),""),"")</f>
        <v/>
      </c>
      <c r="G40" s="56" t="str">
        <f>IFERROR(VLOOKUP(F40,'FORMAL PROCUREMENT (IFB &amp; RFP)'!$B:$J,9,0), "")</f>
        <v/>
      </c>
      <c r="H40" s="63"/>
      <c r="I40" s="63"/>
      <c r="J40" s="75"/>
      <c r="K40" s="56" t="str">
        <f t="array" ref="K40">IF($K$2 &lt;&gt; "",IFERROR(INDEX('FORMAL PROCUREMENT (IFB &amp; RFP)'!$B$7:$B$34,SMALL(IF('FORMAL PROCUREMENT (IFB &amp; RFP)'!$D$6:$I$334=$K$2,ROW('FORMAL PROCUREMENT (IFB &amp; RFP)'!$B$7:$B$34)-ROW('FORMAL PROCUREMENT (IFB &amp; RFP)'!$B$7)+1),ROWS('FORMAL PROCUREMENT (IFB &amp; RFP)'!$B$7:'FORMAL PROCUREMENT (IFB &amp; RFP)'!$B43))),""),"")</f>
        <v/>
      </c>
      <c r="L40" s="56" t="str">
        <f>IFERROR(VLOOKUP(K40,'FORMAL PROCUREMENT (IFB &amp; RFP)'!$B:$J,9,0), "")</f>
        <v/>
      </c>
      <c r="M40" s="63"/>
      <c r="N40" s="63"/>
      <c r="O40" s="75"/>
      <c r="P40" s="56" t="str">
        <f t="array" ref="P40">IF($P$2 &lt;&gt; "",IFERROR(INDEX('FORMAL PROCUREMENT (IFB &amp; RFP)'!$B$7:$B$34,SMALL(IF('FORMAL PROCUREMENT (IFB &amp; RFP)'!$D$6:$I$334=$P$2,ROW('FORMAL PROCUREMENT (IFB &amp; RFP)'!$B$7:$B$34)-ROW('FORMAL PROCUREMENT (IFB &amp; RFP)'!$B$7)+1),ROWS('FORMAL PROCUREMENT (IFB &amp; RFP)'!$B$7:'FORMAL PROCUREMENT (IFB &amp; RFP)'!$B43))),""),"")</f>
        <v/>
      </c>
      <c r="Q40" s="56" t="str">
        <f>IFERROR(VLOOKUP(P40,'FORMAL PROCUREMENT (IFB &amp; RFP)'!$B:$J,9,0), "")</f>
        <v/>
      </c>
      <c r="R40" s="63"/>
      <c r="S40" s="63"/>
      <c r="T40" s="75"/>
      <c r="U40" s="56" t="str">
        <f t="array" ref="U40">IF($U$2 &lt;&gt; "",IFERROR(INDEX('FORMAL PROCUREMENT (IFB &amp; RFP)'!$B$7:$B$34,SMALL(IF('FORMAL PROCUREMENT (IFB &amp; RFP)'!$D$6:$I$334=$U$2,ROW('FORMAL PROCUREMENT (IFB &amp; RFP)'!$B$7:$B$34)-ROW('FORMAL PROCUREMENT (IFB &amp; RFP)'!$B$7)+1),ROWS('FORMAL PROCUREMENT (IFB &amp; RFP)'!$B$7:'FORMAL PROCUREMENT (IFB &amp; RFP)'!$B43))),""),"")</f>
        <v/>
      </c>
      <c r="V40" s="56" t="str">
        <f>IFERROR(VLOOKUP(U40,'FORMAL PROCUREMENT (IFB &amp; RFP)'!$B:$J,9,0), "")</f>
        <v/>
      </c>
      <c r="W40" s="63"/>
      <c r="X40" s="63"/>
      <c r="Y40" s="75"/>
      <c r="Z40" s="56" t="str">
        <f t="array" ref="Z40">IF($Z$2 &lt;&gt; "",IFERROR(INDEX('FORMAL PROCUREMENT (IFB &amp; RFP)'!$B$7:$B$34,SMALL(IF('FORMAL PROCUREMENT (IFB &amp; RFP)'!$D$6:$I$334=$Z$2,ROW('FORMAL PROCUREMENT (IFB &amp; RFP)'!$B$7:$B$34)-ROW('FORMAL PROCUREMENT (IFB &amp; RFP)'!$B$7)+1),ROWS('FORMAL PROCUREMENT (IFB &amp; RFP)'!$B$7:'FORMAL PROCUREMENT (IFB &amp; RFP)'!$B43))),""),"")</f>
        <v/>
      </c>
      <c r="AA40" s="56" t="str">
        <f>IFERROR(VLOOKUP(Z40,'FORMAL PROCUREMENT (IFB &amp; RFP)'!$B:$J,9,0), "")</f>
        <v/>
      </c>
      <c r="AB40" s="63"/>
      <c r="AC40" s="63"/>
      <c r="AD40" s="75"/>
      <c r="AE40" s="82"/>
      <c r="AF40" s="82"/>
      <c r="AG40" s="82"/>
      <c r="AH40" s="82"/>
      <c r="AI40" s="82"/>
      <c r="AJ40" s="82"/>
      <c r="AK40" s="82"/>
      <c r="AL40" s="82"/>
    </row>
    <row r="41" spans="1:38" s="83" customFormat="1" ht="15.75" x14ac:dyDescent="0.25">
      <c r="A41" s="56" t="str">
        <f t="array" ref="A41">IF($A$2 &lt;&gt; "",IFERROR(INDEX('FORMAL PROCUREMENT (IFB &amp; RFP)'!$B$7:$B$34,SMALL(IF('FORMAL PROCUREMENT (IFB &amp; RFP)'!$D$6:$I$334=$A$2,ROW('FORMAL PROCUREMENT (IFB &amp; RFP)'!$B$7:$B$34)-ROW('FORMAL PROCUREMENT (IFB &amp; RFP)'!$B$7)+1),ROWS('FORMAL PROCUREMENT (IFB &amp; RFP)'!$B$7:'FORMAL PROCUREMENT (IFB &amp; RFP)'!$B44))),""),"")</f>
        <v/>
      </c>
      <c r="B41" s="56" t="str">
        <f>IFERROR(VLOOKUP(A41,'FORMAL PROCUREMENT (IFB &amp; RFP)'!$B:$J,9,0), "")</f>
        <v/>
      </c>
      <c r="C41" s="63"/>
      <c r="D41" s="63"/>
      <c r="E41" s="75"/>
      <c r="F41" s="56" t="str">
        <f t="array" ref="F41">IF($F$2 &lt;&gt; "",IFERROR(INDEX('FORMAL PROCUREMENT (IFB &amp; RFP)'!$B$7:$B$34,SMALL(IF('FORMAL PROCUREMENT (IFB &amp; RFP)'!$D$6:$I$334=$F$2,ROW('FORMAL PROCUREMENT (IFB &amp; RFP)'!$B$7:$B$34)-ROW('FORMAL PROCUREMENT (IFB &amp; RFP)'!$B$7)+1),ROWS('FORMAL PROCUREMENT (IFB &amp; RFP)'!$B$7:'FORMAL PROCUREMENT (IFB &amp; RFP)'!$B44))),""),"")</f>
        <v/>
      </c>
      <c r="G41" s="56" t="str">
        <f>IFERROR(VLOOKUP(F41,'FORMAL PROCUREMENT (IFB &amp; RFP)'!$B:$J,9,0), "")</f>
        <v/>
      </c>
      <c r="H41" s="63"/>
      <c r="I41" s="63"/>
      <c r="J41" s="75"/>
      <c r="K41" s="56" t="str">
        <f t="array" ref="K41">IF($K$2 &lt;&gt; "",IFERROR(INDEX('FORMAL PROCUREMENT (IFB &amp; RFP)'!$B$7:$B$34,SMALL(IF('FORMAL PROCUREMENT (IFB &amp; RFP)'!$D$6:$I$334=$K$2,ROW('FORMAL PROCUREMENT (IFB &amp; RFP)'!$B$7:$B$34)-ROW('FORMAL PROCUREMENT (IFB &amp; RFP)'!$B$7)+1),ROWS('FORMAL PROCUREMENT (IFB &amp; RFP)'!$B$7:'FORMAL PROCUREMENT (IFB &amp; RFP)'!$B44))),""),"")</f>
        <v/>
      </c>
      <c r="L41" s="56" t="str">
        <f>IFERROR(VLOOKUP(K41,'FORMAL PROCUREMENT (IFB &amp; RFP)'!$B:$J,9,0), "")</f>
        <v/>
      </c>
      <c r="M41" s="63"/>
      <c r="N41" s="63"/>
      <c r="O41" s="75"/>
      <c r="P41" s="56" t="str">
        <f t="array" ref="P41">IF($P$2 &lt;&gt; "",IFERROR(INDEX('FORMAL PROCUREMENT (IFB &amp; RFP)'!$B$7:$B$34,SMALL(IF('FORMAL PROCUREMENT (IFB &amp; RFP)'!$D$6:$I$334=$P$2,ROW('FORMAL PROCUREMENT (IFB &amp; RFP)'!$B$7:$B$34)-ROW('FORMAL PROCUREMENT (IFB &amp; RFP)'!$B$7)+1),ROWS('FORMAL PROCUREMENT (IFB &amp; RFP)'!$B$7:'FORMAL PROCUREMENT (IFB &amp; RFP)'!$B44))),""),"")</f>
        <v/>
      </c>
      <c r="Q41" s="56" t="str">
        <f>IFERROR(VLOOKUP(P41,'FORMAL PROCUREMENT (IFB &amp; RFP)'!$B:$J,9,0), "")</f>
        <v/>
      </c>
      <c r="R41" s="63"/>
      <c r="S41" s="63"/>
      <c r="T41" s="75"/>
      <c r="U41" s="56" t="str">
        <f t="array" ref="U41">IF($U$2 &lt;&gt; "",IFERROR(INDEX('FORMAL PROCUREMENT (IFB &amp; RFP)'!$B$7:$B$34,SMALL(IF('FORMAL PROCUREMENT (IFB &amp; RFP)'!$D$6:$I$334=$U$2,ROW('FORMAL PROCUREMENT (IFB &amp; RFP)'!$B$7:$B$34)-ROW('FORMAL PROCUREMENT (IFB &amp; RFP)'!$B$7)+1),ROWS('FORMAL PROCUREMENT (IFB &amp; RFP)'!$B$7:'FORMAL PROCUREMENT (IFB &amp; RFP)'!$B44))),""),"")</f>
        <v/>
      </c>
      <c r="V41" s="56" t="str">
        <f>IFERROR(VLOOKUP(U41,'FORMAL PROCUREMENT (IFB &amp; RFP)'!$B:$J,9,0), "")</f>
        <v/>
      </c>
      <c r="W41" s="63"/>
      <c r="X41" s="63"/>
      <c r="Y41" s="75"/>
      <c r="Z41" s="56" t="str">
        <f t="array" ref="Z41">IF($Z$2 &lt;&gt; "",IFERROR(INDEX('FORMAL PROCUREMENT (IFB &amp; RFP)'!$B$7:$B$34,SMALL(IF('FORMAL PROCUREMENT (IFB &amp; RFP)'!$D$6:$I$334=$Z$2,ROW('FORMAL PROCUREMENT (IFB &amp; RFP)'!$B$7:$B$34)-ROW('FORMAL PROCUREMENT (IFB &amp; RFP)'!$B$7)+1),ROWS('FORMAL PROCUREMENT (IFB &amp; RFP)'!$B$7:'FORMAL PROCUREMENT (IFB &amp; RFP)'!$B44))),""),"")</f>
        <v/>
      </c>
      <c r="AA41" s="56" t="str">
        <f>IFERROR(VLOOKUP(Z41,'FORMAL PROCUREMENT (IFB &amp; RFP)'!$B:$J,9,0), "")</f>
        <v/>
      </c>
      <c r="AB41" s="63"/>
      <c r="AC41" s="63"/>
      <c r="AD41" s="75"/>
      <c r="AE41" s="82"/>
      <c r="AF41" s="82"/>
      <c r="AG41" s="82"/>
      <c r="AH41" s="82"/>
      <c r="AI41" s="82"/>
      <c r="AJ41" s="82"/>
      <c r="AK41" s="82"/>
      <c r="AL41" s="82"/>
    </row>
    <row r="42" spans="1:38" s="83" customFormat="1" ht="15.75" x14ac:dyDescent="0.25">
      <c r="A42" s="56" t="str">
        <f t="array" ref="A42">IF($A$2 &lt;&gt; "",IFERROR(INDEX('FORMAL PROCUREMENT (IFB &amp; RFP)'!$B$7:$B$34,SMALL(IF('FORMAL PROCUREMENT (IFB &amp; RFP)'!$D$6:$I$334=$A$2,ROW('FORMAL PROCUREMENT (IFB &amp; RFP)'!$B$7:$B$34)-ROW('FORMAL PROCUREMENT (IFB &amp; RFP)'!$B$7)+1),ROWS('FORMAL PROCUREMENT (IFB &amp; RFP)'!$B$7:'FORMAL PROCUREMENT (IFB &amp; RFP)'!$B45))),""),"")</f>
        <v/>
      </c>
      <c r="B42" s="56" t="str">
        <f>IFERROR(VLOOKUP(A42,'FORMAL PROCUREMENT (IFB &amp; RFP)'!$B:$J,9,0), "")</f>
        <v/>
      </c>
      <c r="C42" s="63"/>
      <c r="D42" s="63"/>
      <c r="E42" s="75"/>
      <c r="F42" s="56" t="str">
        <f t="array" ref="F42">IF($F$2 &lt;&gt; "",IFERROR(INDEX('FORMAL PROCUREMENT (IFB &amp; RFP)'!$B$7:$B$34,SMALL(IF('FORMAL PROCUREMENT (IFB &amp; RFP)'!$D$6:$I$334=$F$2,ROW('FORMAL PROCUREMENT (IFB &amp; RFP)'!$B$7:$B$34)-ROW('FORMAL PROCUREMENT (IFB &amp; RFP)'!$B$7)+1),ROWS('FORMAL PROCUREMENT (IFB &amp; RFP)'!$B$7:'FORMAL PROCUREMENT (IFB &amp; RFP)'!$B45))),""),"")</f>
        <v/>
      </c>
      <c r="G42" s="56" t="str">
        <f>IFERROR(VLOOKUP(F42,'FORMAL PROCUREMENT (IFB &amp; RFP)'!$B:$J,9,0), "")</f>
        <v/>
      </c>
      <c r="H42" s="63"/>
      <c r="I42" s="63"/>
      <c r="J42" s="75"/>
      <c r="K42" s="56" t="str">
        <f t="array" ref="K42">IF($K$2 &lt;&gt; "",IFERROR(INDEX('FORMAL PROCUREMENT (IFB &amp; RFP)'!$B$7:$B$34,SMALL(IF('FORMAL PROCUREMENT (IFB &amp; RFP)'!$D$6:$I$334=$K$2,ROW('FORMAL PROCUREMENT (IFB &amp; RFP)'!$B$7:$B$34)-ROW('FORMAL PROCUREMENT (IFB &amp; RFP)'!$B$7)+1),ROWS('FORMAL PROCUREMENT (IFB &amp; RFP)'!$B$7:'FORMAL PROCUREMENT (IFB &amp; RFP)'!$B45))),""),"")</f>
        <v/>
      </c>
      <c r="L42" s="56" t="str">
        <f>IFERROR(VLOOKUP(K42,'FORMAL PROCUREMENT (IFB &amp; RFP)'!$B:$J,9,0), "")</f>
        <v/>
      </c>
      <c r="M42" s="63"/>
      <c r="N42" s="63"/>
      <c r="O42" s="75"/>
      <c r="P42" s="56" t="str">
        <f t="array" ref="P42">IF($P$2 &lt;&gt; "",IFERROR(INDEX('FORMAL PROCUREMENT (IFB &amp; RFP)'!$B$7:$B$34,SMALL(IF('FORMAL PROCUREMENT (IFB &amp; RFP)'!$D$6:$I$334=$P$2,ROW('FORMAL PROCUREMENT (IFB &amp; RFP)'!$B$7:$B$34)-ROW('FORMAL PROCUREMENT (IFB &amp; RFP)'!$B$7)+1),ROWS('FORMAL PROCUREMENT (IFB &amp; RFP)'!$B$7:'FORMAL PROCUREMENT (IFB &amp; RFP)'!$B45))),""),"")</f>
        <v/>
      </c>
      <c r="Q42" s="56" t="str">
        <f>IFERROR(VLOOKUP(P42,'FORMAL PROCUREMENT (IFB &amp; RFP)'!$B:$J,9,0), "")</f>
        <v/>
      </c>
      <c r="R42" s="63"/>
      <c r="S42" s="63"/>
      <c r="T42" s="75"/>
      <c r="U42" s="56" t="str">
        <f t="array" ref="U42">IF($U$2 &lt;&gt; "",IFERROR(INDEX('FORMAL PROCUREMENT (IFB &amp; RFP)'!$B$7:$B$34,SMALL(IF('FORMAL PROCUREMENT (IFB &amp; RFP)'!$D$6:$I$334=$U$2,ROW('FORMAL PROCUREMENT (IFB &amp; RFP)'!$B$7:$B$34)-ROW('FORMAL PROCUREMENT (IFB &amp; RFP)'!$B$7)+1),ROWS('FORMAL PROCUREMENT (IFB &amp; RFP)'!$B$7:'FORMAL PROCUREMENT (IFB &amp; RFP)'!$B45))),""),"")</f>
        <v/>
      </c>
      <c r="V42" s="56" t="str">
        <f>IFERROR(VLOOKUP(U42,'FORMAL PROCUREMENT (IFB &amp; RFP)'!$B:$J,9,0), "")</f>
        <v/>
      </c>
      <c r="W42" s="63"/>
      <c r="X42" s="63"/>
      <c r="Y42" s="75"/>
      <c r="Z42" s="56" t="str">
        <f t="array" ref="Z42">IF($Z$2 &lt;&gt; "",IFERROR(INDEX('FORMAL PROCUREMENT (IFB &amp; RFP)'!$B$7:$B$34,SMALL(IF('FORMAL PROCUREMENT (IFB &amp; RFP)'!$D$6:$I$334=$Z$2,ROW('FORMAL PROCUREMENT (IFB &amp; RFP)'!$B$7:$B$34)-ROW('FORMAL PROCUREMENT (IFB &amp; RFP)'!$B$7)+1),ROWS('FORMAL PROCUREMENT (IFB &amp; RFP)'!$B$7:'FORMAL PROCUREMENT (IFB &amp; RFP)'!$B45))),""),"")</f>
        <v/>
      </c>
      <c r="AA42" s="56" t="str">
        <f>IFERROR(VLOOKUP(Z42,'FORMAL PROCUREMENT (IFB &amp; RFP)'!$B:$J,9,0), "")</f>
        <v/>
      </c>
      <c r="AB42" s="63"/>
      <c r="AC42" s="63"/>
      <c r="AD42" s="75"/>
      <c r="AE42" s="82"/>
      <c r="AF42" s="82"/>
      <c r="AG42" s="82"/>
      <c r="AH42" s="82"/>
      <c r="AI42" s="82"/>
      <c r="AJ42" s="82"/>
      <c r="AK42" s="82"/>
      <c r="AL42" s="82"/>
    </row>
    <row r="43" spans="1:38" s="83" customFormat="1" ht="15.75" x14ac:dyDescent="0.25">
      <c r="A43" s="56" t="str">
        <f t="array" ref="A43">IF($A$2 &lt;&gt; "",IFERROR(INDEX('FORMAL PROCUREMENT (IFB &amp; RFP)'!$B$7:$B$34,SMALL(IF('FORMAL PROCUREMENT (IFB &amp; RFP)'!$D$6:$I$334=$A$2,ROW('FORMAL PROCUREMENT (IFB &amp; RFP)'!$B$7:$B$34)-ROW('FORMAL PROCUREMENT (IFB &amp; RFP)'!$B$7)+1),ROWS('FORMAL PROCUREMENT (IFB &amp; RFP)'!$B$7:'FORMAL PROCUREMENT (IFB &amp; RFP)'!$B46))),""),"")</f>
        <v/>
      </c>
      <c r="B43" s="56" t="str">
        <f>IFERROR(VLOOKUP(A43,'FORMAL PROCUREMENT (IFB &amp; RFP)'!$B:$J,9,0), "")</f>
        <v/>
      </c>
      <c r="C43" s="63"/>
      <c r="D43" s="63"/>
      <c r="E43" s="75"/>
      <c r="F43" s="56" t="str">
        <f t="array" ref="F43">IF($F$2 &lt;&gt; "",IFERROR(INDEX('FORMAL PROCUREMENT (IFB &amp; RFP)'!$B$7:$B$34,SMALL(IF('FORMAL PROCUREMENT (IFB &amp; RFP)'!$D$6:$I$334=$F$2,ROW('FORMAL PROCUREMENT (IFB &amp; RFP)'!$B$7:$B$34)-ROW('FORMAL PROCUREMENT (IFB &amp; RFP)'!$B$7)+1),ROWS('FORMAL PROCUREMENT (IFB &amp; RFP)'!$B$7:'FORMAL PROCUREMENT (IFB &amp; RFP)'!$B46))),""),"")</f>
        <v/>
      </c>
      <c r="G43" s="56" t="str">
        <f>IFERROR(VLOOKUP(F43,'FORMAL PROCUREMENT (IFB &amp; RFP)'!$B:$J,9,0), "")</f>
        <v/>
      </c>
      <c r="H43" s="63"/>
      <c r="I43" s="63"/>
      <c r="J43" s="75"/>
      <c r="K43" s="56" t="str">
        <f t="array" ref="K43">IF($K$2 &lt;&gt; "",IFERROR(INDEX('FORMAL PROCUREMENT (IFB &amp; RFP)'!$B$7:$B$34,SMALL(IF('FORMAL PROCUREMENT (IFB &amp; RFP)'!$D$6:$I$334=$K$2,ROW('FORMAL PROCUREMENT (IFB &amp; RFP)'!$B$7:$B$34)-ROW('FORMAL PROCUREMENT (IFB &amp; RFP)'!$B$7)+1),ROWS('FORMAL PROCUREMENT (IFB &amp; RFP)'!$B$7:'FORMAL PROCUREMENT (IFB &amp; RFP)'!$B46))),""),"")</f>
        <v/>
      </c>
      <c r="L43" s="56" t="str">
        <f>IFERROR(VLOOKUP(K43,'FORMAL PROCUREMENT (IFB &amp; RFP)'!$B:$J,9,0), "")</f>
        <v/>
      </c>
      <c r="M43" s="63"/>
      <c r="N43" s="63"/>
      <c r="O43" s="75"/>
      <c r="P43" s="56" t="str">
        <f t="array" ref="P43">IF($P$2 &lt;&gt; "",IFERROR(INDEX('FORMAL PROCUREMENT (IFB &amp; RFP)'!$B$7:$B$34,SMALL(IF('FORMAL PROCUREMENT (IFB &amp; RFP)'!$D$6:$I$334=$P$2,ROW('FORMAL PROCUREMENT (IFB &amp; RFP)'!$B$7:$B$34)-ROW('FORMAL PROCUREMENT (IFB &amp; RFP)'!$B$7)+1),ROWS('FORMAL PROCUREMENT (IFB &amp; RFP)'!$B$7:'FORMAL PROCUREMENT (IFB &amp; RFP)'!$B46))),""),"")</f>
        <v/>
      </c>
      <c r="Q43" s="56" t="str">
        <f>IFERROR(VLOOKUP(P43,'FORMAL PROCUREMENT (IFB &amp; RFP)'!$B:$J,9,0), "")</f>
        <v/>
      </c>
      <c r="R43" s="63"/>
      <c r="S43" s="63"/>
      <c r="T43" s="75"/>
      <c r="U43" s="56" t="str">
        <f t="array" ref="U43">IF($U$2 &lt;&gt; "",IFERROR(INDEX('FORMAL PROCUREMENT (IFB &amp; RFP)'!$B$7:$B$34,SMALL(IF('FORMAL PROCUREMENT (IFB &amp; RFP)'!$D$6:$I$334=$U$2,ROW('FORMAL PROCUREMENT (IFB &amp; RFP)'!$B$7:$B$34)-ROW('FORMAL PROCUREMENT (IFB &amp; RFP)'!$B$7)+1),ROWS('FORMAL PROCUREMENT (IFB &amp; RFP)'!$B$7:'FORMAL PROCUREMENT (IFB &amp; RFP)'!$B46))),""),"")</f>
        <v/>
      </c>
      <c r="V43" s="56" t="str">
        <f>IFERROR(VLOOKUP(U43,'FORMAL PROCUREMENT (IFB &amp; RFP)'!$B:$J,9,0), "")</f>
        <v/>
      </c>
      <c r="W43" s="63"/>
      <c r="X43" s="63"/>
      <c r="Y43" s="75"/>
      <c r="Z43" s="56" t="str">
        <f t="array" ref="Z43">IF($Z$2 &lt;&gt; "",IFERROR(INDEX('FORMAL PROCUREMENT (IFB &amp; RFP)'!$B$7:$B$34,SMALL(IF('FORMAL PROCUREMENT (IFB &amp; RFP)'!$D$6:$I$334=$Z$2,ROW('FORMAL PROCUREMENT (IFB &amp; RFP)'!$B$7:$B$34)-ROW('FORMAL PROCUREMENT (IFB &amp; RFP)'!$B$7)+1),ROWS('FORMAL PROCUREMENT (IFB &amp; RFP)'!$B$7:'FORMAL PROCUREMENT (IFB &amp; RFP)'!$B46))),""),"")</f>
        <v/>
      </c>
      <c r="AA43" s="56" t="str">
        <f>IFERROR(VLOOKUP(Z43,'FORMAL PROCUREMENT (IFB &amp; RFP)'!$B:$J,9,0), "")</f>
        <v/>
      </c>
      <c r="AB43" s="63"/>
      <c r="AC43" s="63"/>
      <c r="AD43" s="75"/>
      <c r="AE43" s="82"/>
      <c r="AF43" s="82"/>
      <c r="AG43" s="82"/>
      <c r="AH43" s="82"/>
      <c r="AI43" s="82"/>
      <c r="AJ43" s="82"/>
      <c r="AK43" s="82"/>
      <c r="AL43" s="82"/>
    </row>
    <row r="44" spans="1:38" s="83" customFormat="1" ht="15.75" x14ac:dyDescent="0.25">
      <c r="A44" s="56" t="str">
        <f t="array" ref="A44">IF($A$2 &lt;&gt; "",IFERROR(INDEX('FORMAL PROCUREMENT (IFB &amp; RFP)'!$B$7:$B$34,SMALL(IF('FORMAL PROCUREMENT (IFB &amp; RFP)'!$D$6:$I$334=$A$2,ROW('FORMAL PROCUREMENT (IFB &amp; RFP)'!$B$7:$B$34)-ROW('FORMAL PROCUREMENT (IFB &amp; RFP)'!$B$7)+1),ROWS('FORMAL PROCUREMENT (IFB &amp; RFP)'!$B$7:'FORMAL PROCUREMENT (IFB &amp; RFP)'!$B47))),""),"")</f>
        <v/>
      </c>
      <c r="B44" s="56" t="str">
        <f>IFERROR(VLOOKUP(A44,'FORMAL PROCUREMENT (IFB &amp; RFP)'!$B:$J,9,0), "")</f>
        <v/>
      </c>
      <c r="C44" s="63"/>
      <c r="D44" s="63"/>
      <c r="E44" s="75"/>
      <c r="F44" s="56" t="str">
        <f t="array" ref="F44">IF($F$2 &lt;&gt; "",IFERROR(INDEX('FORMAL PROCUREMENT (IFB &amp; RFP)'!$B$7:$B$34,SMALL(IF('FORMAL PROCUREMENT (IFB &amp; RFP)'!$D$6:$I$334=$F$2,ROW('FORMAL PROCUREMENT (IFB &amp; RFP)'!$B$7:$B$34)-ROW('FORMAL PROCUREMENT (IFB &amp; RFP)'!$B$7)+1),ROWS('FORMAL PROCUREMENT (IFB &amp; RFP)'!$B$7:'FORMAL PROCUREMENT (IFB &amp; RFP)'!$B47))),""),"")</f>
        <v/>
      </c>
      <c r="G44" s="56" t="str">
        <f>IFERROR(VLOOKUP(F44,'FORMAL PROCUREMENT (IFB &amp; RFP)'!$B:$J,9,0), "")</f>
        <v/>
      </c>
      <c r="H44" s="63"/>
      <c r="I44" s="63"/>
      <c r="J44" s="75"/>
      <c r="K44" s="56" t="str">
        <f t="array" ref="K44">IF($K$2 &lt;&gt; "",IFERROR(INDEX('FORMAL PROCUREMENT (IFB &amp; RFP)'!$B$7:$B$34,SMALL(IF('FORMAL PROCUREMENT (IFB &amp; RFP)'!$D$6:$I$334=$K$2,ROW('FORMAL PROCUREMENT (IFB &amp; RFP)'!$B$7:$B$34)-ROW('FORMAL PROCUREMENT (IFB &amp; RFP)'!$B$7)+1),ROWS('FORMAL PROCUREMENT (IFB &amp; RFP)'!$B$7:'FORMAL PROCUREMENT (IFB &amp; RFP)'!$B47))),""),"")</f>
        <v/>
      </c>
      <c r="L44" s="56" t="str">
        <f>IFERROR(VLOOKUP(K44,'FORMAL PROCUREMENT (IFB &amp; RFP)'!$B:$J,9,0), "")</f>
        <v/>
      </c>
      <c r="M44" s="63"/>
      <c r="N44" s="63"/>
      <c r="O44" s="75"/>
      <c r="P44" s="56" t="str">
        <f t="array" ref="P44">IF($P$2 &lt;&gt; "",IFERROR(INDEX('FORMAL PROCUREMENT (IFB &amp; RFP)'!$B$7:$B$34,SMALL(IF('FORMAL PROCUREMENT (IFB &amp; RFP)'!$D$6:$I$334=$P$2,ROW('FORMAL PROCUREMENT (IFB &amp; RFP)'!$B$7:$B$34)-ROW('FORMAL PROCUREMENT (IFB &amp; RFP)'!$B$7)+1),ROWS('FORMAL PROCUREMENT (IFB &amp; RFP)'!$B$7:'FORMAL PROCUREMENT (IFB &amp; RFP)'!$B47))),""),"")</f>
        <v/>
      </c>
      <c r="Q44" s="56" t="str">
        <f>IFERROR(VLOOKUP(P44,'FORMAL PROCUREMENT (IFB &amp; RFP)'!$B:$J,9,0), "")</f>
        <v/>
      </c>
      <c r="R44" s="63"/>
      <c r="S44" s="63"/>
      <c r="T44" s="75"/>
      <c r="U44" s="56" t="str">
        <f t="array" ref="U44">IF($U$2 &lt;&gt; "",IFERROR(INDEX('FORMAL PROCUREMENT (IFB &amp; RFP)'!$B$7:$B$34,SMALL(IF('FORMAL PROCUREMENT (IFB &amp; RFP)'!$D$6:$I$334=$U$2,ROW('FORMAL PROCUREMENT (IFB &amp; RFP)'!$B$7:$B$34)-ROW('FORMAL PROCUREMENT (IFB &amp; RFP)'!$B$7)+1),ROWS('FORMAL PROCUREMENT (IFB &amp; RFP)'!$B$7:'FORMAL PROCUREMENT (IFB &amp; RFP)'!$B47))),""),"")</f>
        <v/>
      </c>
      <c r="V44" s="56" t="str">
        <f>IFERROR(VLOOKUP(U44,'FORMAL PROCUREMENT (IFB &amp; RFP)'!$B:$J,9,0), "")</f>
        <v/>
      </c>
      <c r="W44" s="63"/>
      <c r="X44" s="63"/>
      <c r="Y44" s="75"/>
      <c r="Z44" s="56" t="str">
        <f t="array" ref="Z44">IF($Z$2 &lt;&gt; "",IFERROR(INDEX('FORMAL PROCUREMENT (IFB &amp; RFP)'!$B$7:$B$34,SMALL(IF('FORMAL PROCUREMENT (IFB &amp; RFP)'!$D$6:$I$334=$Z$2,ROW('FORMAL PROCUREMENT (IFB &amp; RFP)'!$B$7:$B$34)-ROW('FORMAL PROCUREMENT (IFB &amp; RFP)'!$B$7)+1),ROWS('FORMAL PROCUREMENT (IFB &amp; RFP)'!$B$7:'FORMAL PROCUREMENT (IFB &amp; RFP)'!$B47))),""),"")</f>
        <v/>
      </c>
      <c r="AA44" s="56" t="str">
        <f>IFERROR(VLOOKUP(Z44,'FORMAL PROCUREMENT (IFB &amp; RFP)'!$B:$J,9,0), "")</f>
        <v/>
      </c>
      <c r="AB44" s="63"/>
      <c r="AC44" s="63"/>
      <c r="AD44" s="75"/>
      <c r="AE44" s="82"/>
      <c r="AF44" s="82"/>
      <c r="AG44" s="82"/>
      <c r="AH44" s="82"/>
      <c r="AI44" s="82"/>
      <c r="AJ44" s="82"/>
      <c r="AK44" s="82"/>
      <c r="AL44" s="82"/>
    </row>
    <row r="45" spans="1:38" s="83" customFormat="1" ht="15.75" x14ac:dyDescent="0.25">
      <c r="A45" s="56" t="str">
        <f t="array" ref="A45">IF($A$2 &lt;&gt; "",IFERROR(INDEX('FORMAL PROCUREMENT (IFB &amp; RFP)'!$B$7:$B$34,SMALL(IF('FORMAL PROCUREMENT (IFB &amp; RFP)'!$D$6:$I$334=$A$2,ROW('FORMAL PROCUREMENT (IFB &amp; RFP)'!$B$7:$B$34)-ROW('FORMAL PROCUREMENT (IFB &amp; RFP)'!$B$7)+1),ROWS('FORMAL PROCUREMENT (IFB &amp; RFP)'!$B$7:'FORMAL PROCUREMENT (IFB &amp; RFP)'!$B48))),""),"")</f>
        <v/>
      </c>
      <c r="B45" s="56" t="str">
        <f>IFERROR(VLOOKUP(A45,'FORMAL PROCUREMENT (IFB &amp; RFP)'!$B:$J,9,0), "")</f>
        <v/>
      </c>
      <c r="C45" s="63"/>
      <c r="D45" s="63"/>
      <c r="E45" s="75"/>
      <c r="F45" s="56" t="str">
        <f t="array" ref="F45">IF($F$2 &lt;&gt; "",IFERROR(INDEX('FORMAL PROCUREMENT (IFB &amp; RFP)'!$B$7:$B$34,SMALL(IF('FORMAL PROCUREMENT (IFB &amp; RFP)'!$D$6:$I$334=$F$2,ROW('FORMAL PROCUREMENT (IFB &amp; RFP)'!$B$7:$B$34)-ROW('FORMAL PROCUREMENT (IFB &amp; RFP)'!$B$7)+1),ROWS('FORMAL PROCUREMENT (IFB &amp; RFP)'!$B$7:'FORMAL PROCUREMENT (IFB &amp; RFP)'!$B48))),""),"")</f>
        <v/>
      </c>
      <c r="G45" s="56" t="str">
        <f>IFERROR(VLOOKUP(F45,'FORMAL PROCUREMENT (IFB &amp; RFP)'!$B:$J,9,0), "")</f>
        <v/>
      </c>
      <c r="H45" s="63"/>
      <c r="I45" s="63"/>
      <c r="J45" s="75"/>
      <c r="K45" s="56" t="str">
        <f t="array" ref="K45">IF($K$2 &lt;&gt; "",IFERROR(INDEX('FORMAL PROCUREMENT (IFB &amp; RFP)'!$B$7:$B$34,SMALL(IF('FORMAL PROCUREMENT (IFB &amp; RFP)'!$D$6:$I$334=$K$2,ROW('FORMAL PROCUREMENT (IFB &amp; RFP)'!$B$7:$B$34)-ROW('FORMAL PROCUREMENT (IFB &amp; RFP)'!$B$7)+1),ROWS('FORMAL PROCUREMENT (IFB &amp; RFP)'!$B$7:'FORMAL PROCUREMENT (IFB &amp; RFP)'!$B48))),""),"")</f>
        <v/>
      </c>
      <c r="L45" s="56" t="str">
        <f>IFERROR(VLOOKUP(K45,'FORMAL PROCUREMENT (IFB &amp; RFP)'!$B:$J,9,0), "")</f>
        <v/>
      </c>
      <c r="M45" s="63"/>
      <c r="N45" s="63"/>
      <c r="O45" s="75"/>
      <c r="P45" s="56" t="str">
        <f t="array" ref="P45">IF($P$2 &lt;&gt; "",IFERROR(INDEX('FORMAL PROCUREMENT (IFB &amp; RFP)'!$B$7:$B$34,SMALL(IF('FORMAL PROCUREMENT (IFB &amp; RFP)'!$D$6:$I$334=$P$2,ROW('FORMAL PROCUREMENT (IFB &amp; RFP)'!$B$7:$B$34)-ROW('FORMAL PROCUREMENT (IFB &amp; RFP)'!$B$7)+1),ROWS('FORMAL PROCUREMENT (IFB &amp; RFP)'!$B$7:'FORMAL PROCUREMENT (IFB &amp; RFP)'!$B48))),""),"")</f>
        <v/>
      </c>
      <c r="Q45" s="56" t="str">
        <f>IFERROR(VLOOKUP(P45,'FORMAL PROCUREMENT (IFB &amp; RFP)'!$B:$J,9,0), "")</f>
        <v/>
      </c>
      <c r="R45" s="63"/>
      <c r="S45" s="63"/>
      <c r="T45" s="75"/>
      <c r="U45" s="56" t="str">
        <f t="array" ref="U45">IF($U$2 &lt;&gt; "",IFERROR(INDEX('FORMAL PROCUREMENT (IFB &amp; RFP)'!$B$7:$B$34,SMALL(IF('FORMAL PROCUREMENT (IFB &amp; RFP)'!$D$6:$I$334=$U$2,ROW('FORMAL PROCUREMENT (IFB &amp; RFP)'!$B$7:$B$34)-ROW('FORMAL PROCUREMENT (IFB &amp; RFP)'!$B$7)+1),ROWS('FORMAL PROCUREMENT (IFB &amp; RFP)'!$B$7:'FORMAL PROCUREMENT (IFB &amp; RFP)'!$B48))),""),"")</f>
        <v/>
      </c>
      <c r="V45" s="56" t="str">
        <f>IFERROR(VLOOKUP(U45,'FORMAL PROCUREMENT (IFB &amp; RFP)'!$B:$J,9,0), "")</f>
        <v/>
      </c>
      <c r="W45" s="63"/>
      <c r="X45" s="63"/>
      <c r="Y45" s="75"/>
      <c r="Z45" s="56" t="str">
        <f t="array" ref="Z45">IF($Z$2 &lt;&gt; "",IFERROR(INDEX('FORMAL PROCUREMENT (IFB &amp; RFP)'!$B$7:$B$34,SMALL(IF('FORMAL PROCUREMENT (IFB &amp; RFP)'!$D$6:$I$334=$Z$2,ROW('FORMAL PROCUREMENT (IFB &amp; RFP)'!$B$7:$B$34)-ROW('FORMAL PROCUREMENT (IFB &amp; RFP)'!$B$7)+1),ROWS('FORMAL PROCUREMENT (IFB &amp; RFP)'!$B$7:'FORMAL PROCUREMENT (IFB &amp; RFP)'!$B48))),""),"")</f>
        <v/>
      </c>
      <c r="AA45" s="56" t="str">
        <f>IFERROR(VLOOKUP(Z45,'FORMAL PROCUREMENT (IFB &amp; RFP)'!$B:$J,9,0), "")</f>
        <v/>
      </c>
      <c r="AB45" s="63"/>
      <c r="AC45" s="63"/>
      <c r="AD45" s="75"/>
      <c r="AE45" s="82"/>
      <c r="AF45" s="82"/>
      <c r="AG45" s="82"/>
      <c r="AH45" s="82"/>
      <c r="AI45" s="82"/>
      <c r="AJ45" s="82"/>
      <c r="AK45" s="82"/>
      <c r="AL45" s="82"/>
    </row>
    <row r="46" spans="1:38" s="83" customFormat="1" ht="15.75" x14ac:dyDescent="0.25">
      <c r="A46" s="56" t="str">
        <f t="array" ref="A46">IF($A$2 &lt;&gt; "",IFERROR(INDEX('FORMAL PROCUREMENT (IFB &amp; RFP)'!$B$7:$B$34,SMALL(IF('FORMAL PROCUREMENT (IFB &amp; RFP)'!$D$6:$I$334=$A$2,ROW('FORMAL PROCUREMENT (IFB &amp; RFP)'!$B$7:$B$34)-ROW('FORMAL PROCUREMENT (IFB &amp; RFP)'!$B$7)+1),ROWS('FORMAL PROCUREMENT (IFB &amp; RFP)'!$B$7:'FORMAL PROCUREMENT (IFB &amp; RFP)'!$B49))),""),"")</f>
        <v/>
      </c>
      <c r="B46" s="56" t="str">
        <f>IFERROR(VLOOKUP(A46,'FORMAL PROCUREMENT (IFB &amp; RFP)'!$B:$J,9,0), "")</f>
        <v/>
      </c>
      <c r="C46" s="63"/>
      <c r="D46" s="63"/>
      <c r="E46" s="75"/>
      <c r="F46" s="56" t="str">
        <f t="array" ref="F46">IF($F$2 &lt;&gt; "",IFERROR(INDEX('FORMAL PROCUREMENT (IFB &amp; RFP)'!$B$7:$B$34,SMALL(IF('FORMAL PROCUREMENT (IFB &amp; RFP)'!$D$6:$I$334=$F$2,ROW('FORMAL PROCUREMENT (IFB &amp; RFP)'!$B$7:$B$34)-ROW('FORMAL PROCUREMENT (IFB &amp; RFP)'!$B$7)+1),ROWS('FORMAL PROCUREMENT (IFB &amp; RFP)'!$B$7:'FORMAL PROCUREMENT (IFB &amp; RFP)'!$B49))),""),"")</f>
        <v/>
      </c>
      <c r="G46" s="56" t="str">
        <f>IFERROR(VLOOKUP(F46,'FORMAL PROCUREMENT (IFB &amp; RFP)'!$B:$J,9,0), "")</f>
        <v/>
      </c>
      <c r="H46" s="63"/>
      <c r="I46" s="63"/>
      <c r="J46" s="75"/>
      <c r="K46" s="56" t="str">
        <f t="array" ref="K46">IF($K$2 &lt;&gt; "",IFERROR(INDEX('FORMAL PROCUREMENT (IFB &amp; RFP)'!$B$7:$B$34,SMALL(IF('FORMAL PROCUREMENT (IFB &amp; RFP)'!$D$6:$I$334=$K$2,ROW('FORMAL PROCUREMENT (IFB &amp; RFP)'!$B$7:$B$34)-ROW('FORMAL PROCUREMENT (IFB &amp; RFP)'!$B$7)+1),ROWS('FORMAL PROCUREMENT (IFB &amp; RFP)'!$B$7:'FORMAL PROCUREMENT (IFB &amp; RFP)'!$B49))),""),"")</f>
        <v/>
      </c>
      <c r="L46" s="56" t="str">
        <f>IFERROR(VLOOKUP(K46,'FORMAL PROCUREMENT (IFB &amp; RFP)'!$B:$J,9,0), "")</f>
        <v/>
      </c>
      <c r="M46" s="63"/>
      <c r="N46" s="63"/>
      <c r="O46" s="75"/>
      <c r="P46" s="56" t="str">
        <f t="array" ref="P46">IF($P$2 &lt;&gt; "",IFERROR(INDEX('FORMAL PROCUREMENT (IFB &amp; RFP)'!$B$7:$B$34,SMALL(IF('FORMAL PROCUREMENT (IFB &amp; RFP)'!$D$6:$I$334=$P$2,ROW('FORMAL PROCUREMENT (IFB &amp; RFP)'!$B$7:$B$34)-ROW('FORMAL PROCUREMENT (IFB &amp; RFP)'!$B$7)+1),ROWS('FORMAL PROCUREMENT (IFB &amp; RFP)'!$B$7:'FORMAL PROCUREMENT (IFB &amp; RFP)'!$B49))),""),"")</f>
        <v/>
      </c>
      <c r="Q46" s="56" t="str">
        <f>IFERROR(VLOOKUP(P46,'FORMAL PROCUREMENT (IFB &amp; RFP)'!$B:$J,9,0), "")</f>
        <v/>
      </c>
      <c r="R46" s="63"/>
      <c r="S46" s="63"/>
      <c r="T46" s="75"/>
      <c r="U46" s="56" t="str">
        <f t="array" ref="U46">IF($U$2 &lt;&gt; "",IFERROR(INDEX('FORMAL PROCUREMENT (IFB &amp; RFP)'!$B$7:$B$34,SMALL(IF('FORMAL PROCUREMENT (IFB &amp; RFP)'!$D$6:$I$334=$U$2,ROW('FORMAL PROCUREMENT (IFB &amp; RFP)'!$B$7:$B$34)-ROW('FORMAL PROCUREMENT (IFB &amp; RFP)'!$B$7)+1),ROWS('FORMAL PROCUREMENT (IFB &amp; RFP)'!$B$7:'FORMAL PROCUREMENT (IFB &amp; RFP)'!$B49))),""),"")</f>
        <v/>
      </c>
      <c r="V46" s="56" t="str">
        <f>IFERROR(VLOOKUP(U46,'FORMAL PROCUREMENT (IFB &amp; RFP)'!$B:$J,9,0), "")</f>
        <v/>
      </c>
      <c r="W46" s="63"/>
      <c r="X46" s="63"/>
      <c r="Y46" s="75"/>
      <c r="Z46" s="56" t="str">
        <f t="array" ref="Z46">IF($Z$2 &lt;&gt; "",IFERROR(INDEX('FORMAL PROCUREMENT (IFB &amp; RFP)'!$B$7:$B$34,SMALL(IF('FORMAL PROCUREMENT (IFB &amp; RFP)'!$D$6:$I$334=$Z$2,ROW('FORMAL PROCUREMENT (IFB &amp; RFP)'!$B$7:$B$34)-ROW('FORMAL PROCUREMENT (IFB &amp; RFP)'!$B$7)+1),ROWS('FORMAL PROCUREMENT (IFB &amp; RFP)'!$B$7:'FORMAL PROCUREMENT (IFB &amp; RFP)'!$B49))),""),"")</f>
        <v/>
      </c>
      <c r="AA46" s="56" t="str">
        <f>IFERROR(VLOOKUP(Z46,'FORMAL PROCUREMENT (IFB &amp; RFP)'!$B:$J,9,0), "")</f>
        <v/>
      </c>
      <c r="AB46" s="63"/>
      <c r="AC46" s="63"/>
      <c r="AD46" s="75"/>
      <c r="AE46" s="82"/>
      <c r="AF46" s="82"/>
      <c r="AG46" s="82"/>
      <c r="AH46" s="82"/>
      <c r="AI46" s="82"/>
      <c r="AJ46" s="82"/>
      <c r="AK46" s="82"/>
      <c r="AL46" s="82"/>
    </row>
    <row r="47" spans="1:38" s="83" customFormat="1" ht="15.75" x14ac:dyDescent="0.25">
      <c r="A47" s="56" t="str">
        <f t="array" ref="A47">IF($A$2 &lt;&gt; "",IFERROR(INDEX('FORMAL PROCUREMENT (IFB &amp; RFP)'!$B$7:$B$34,SMALL(IF('FORMAL PROCUREMENT (IFB &amp; RFP)'!$D$6:$I$334=$A$2,ROW('FORMAL PROCUREMENT (IFB &amp; RFP)'!$B$7:$B$34)-ROW('FORMAL PROCUREMENT (IFB &amp; RFP)'!$B$7)+1),ROWS('FORMAL PROCUREMENT (IFB &amp; RFP)'!$B$7:'FORMAL PROCUREMENT (IFB &amp; RFP)'!$B50))),""),"")</f>
        <v/>
      </c>
      <c r="B47" s="56" t="str">
        <f>IFERROR(VLOOKUP(A47,'FORMAL PROCUREMENT (IFB &amp; RFP)'!$B:$J,9,0), "")</f>
        <v/>
      </c>
      <c r="C47" s="63"/>
      <c r="D47" s="63"/>
      <c r="E47" s="75"/>
      <c r="F47" s="56" t="str">
        <f t="array" ref="F47">IF($F$2 &lt;&gt; "",IFERROR(INDEX('FORMAL PROCUREMENT (IFB &amp; RFP)'!$B$7:$B$34,SMALL(IF('FORMAL PROCUREMENT (IFB &amp; RFP)'!$D$6:$I$334=$F$2,ROW('FORMAL PROCUREMENT (IFB &amp; RFP)'!$B$7:$B$34)-ROW('FORMAL PROCUREMENT (IFB &amp; RFP)'!$B$7)+1),ROWS('FORMAL PROCUREMENT (IFB &amp; RFP)'!$B$7:'FORMAL PROCUREMENT (IFB &amp; RFP)'!$B50))),""),"")</f>
        <v/>
      </c>
      <c r="G47" s="56" t="str">
        <f>IFERROR(VLOOKUP(F47,'FORMAL PROCUREMENT (IFB &amp; RFP)'!$B:$J,9,0), "")</f>
        <v/>
      </c>
      <c r="H47" s="63"/>
      <c r="I47" s="63"/>
      <c r="J47" s="75"/>
      <c r="K47" s="56" t="str">
        <f t="array" ref="K47">IF($K$2 &lt;&gt; "",IFERROR(INDEX('FORMAL PROCUREMENT (IFB &amp; RFP)'!$B$7:$B$34,SMALL(IF('FORMAL PROCUREMENT (IFB &amp; RFP)'!$D$6:$I$334=$K$2,ROW('FORMAL PROCUREMENT (IFB &amp; RFP)'!$B$7:$B$34)-ROW('FORMAL PROCUREMENT (IFB &amp; RFP)'!$B$7)+1),ROWS('FORMAL PROCUREMENT (IFB &amp; RFP)'!$B$7:'FORMAL PROCUREMENT (IFB &amp; RFP)'!$B50))),""),"")</f>
        <v/>
      </c>
      <c r="L47" s="56" t="str">
        <f>IFERROR(VLOOKUP(K47,'FORMAL PROCUREMENT (IFB &amp; RFP)'!$B:$J,9,0), "")</f>
        <v/>
      </c>
      <c r="M47" s="63"/>
      <c r="N47" s="63"/>
      <c r="O47" s="75"/>
      <c r="P47" s="56" t="str">
        <f t="array" ref="P47">IF($P$2 &lt;&gt; "",IFERROR(INDEX('FORMAL PROCUREMENT (IFB &amp; RFP)'!$B$7:$B$34,SMALL(IF('FORMAL PROCUREMENT (IFB &amp; RFP)'!$D$6:$I$334=$P$2,ROW('FORMAL PROCUREMENT (IFB &amp; RFP)'!$B$7:$B$34)-ROW('FORMAL PROCUREMENT (IFB &amp; RFP)'!$B$7)+1),ROWS('FORMAL PROCUREMENT (IFB &amp; RFP)'!$B$7:'FORMAL PROCUREMENT (IFB &amp; RFP)'!$B50))),""),"")</f>
        <v/>
      </c>
      <c r="Q47" s="56" t="str">
        <f>IFERROR(VLOOKUP(P47,'FORMAL PROCUREMENT (IFB &amp; RFP)'!$B:$J,9,0), "")</f>
        <v/>
      </c>
      <c r="R47" s="63"/>
      <c r="S47" s="63"/>
      <c r="T47" s="75"/>
      <c r="U47" s="56" t="str">
        <f t="array" ref="U47">IF($U$2 &lt;&gt; "",IFERROR(INDEX('FORMAL PROCUREMENT (IFB &amp; RFP)'!$B$7:$B$34,SMALL(IF('FORMAL PROCUREMENT (IFB &amp; RFP)'!$D$6:$I$334=$U$2,ROW('FORMAL PROCUREMENT (IFB &amp; RFP)'!$B$7:$B$34)-ROW('FORMAL PROCUREMENT (IFB &amp; RFP)'!$B$7)+1),ROWS('FORMAL PROCUREMENT (IFB &amp; RFP)'!$B$7:'FORMAL PROCUREMENT (IFB &amp; RFP)'!$B50))),""),"")</f>
        <v/>
      </c>
      <c r="V47" s="56" t="str">
        <f>IFERROR(VLOOKUP(U47,'FORMAL PROCUREMENT (IFB &amp; RFP)'!$B:$J,9,0), "")</f>
        <v/>
      </c>
      <c r="W47" s="63"/>
      <c r="X47" s="63"/>
      <c r="Y47" s="75"/>
      <c r="Z47" s="56" t="str">
        <f t="array" ref="Z47">IF($Z$2 &lt;&gt; "",IFERROR(INDEX('FORMAL PROCUREMENT (IFB &amp; RFP)'!$B$7:$B$34,SMALL(IF('FORMAL PROCUREMENT (IFB &amp; RFP)'!$D$6:$I$334=$Z$2,ROW('FORMAL PROCUREMENT (IFB &amp; RFP)'!$B$7:$B$34)-ROW('FORMAL PROCUREMENT (IFB &amp; RFP)'!$B$7)+1),ROWS('FORMAL PROCUREMENT (IFB &amp; RFP)'!$B$7:'FORMAL PROCUREMENT (IFB &amp; RFP)'!$B50))),""),"")</f>
        <v/>
      </c>
      <c r="AA47" s="56" t="str">
        <f>IFERROR(VLOOKUP(Z47,'FORMAL PROCUREMENT (IFB &amp; RFP)'!$B:$J,9,0), "")</f>
        <v/>
      </c>
      <c r="AB47" s="63"/>
      <c r="AC47" s="63"/>
      <c r="AD47" s="75"/>
      <c r="AE47" s="82"/>
      <c r="AF47" s="82"/>
      <c r="AG47" s="82"/>
      <c r="AH47" s="82"/>
      <c r="AI47" s="82"/>
      <c r="AJ47" s="82"/>
      <c r="AK47" s="82"/>
      <c r="AL47" s="82"/>
    </row>
    <row r="48" spans="1:38" s="83" customFormat="1" ht="15.75" x14ac:dyDescent="0.25">
      <c r="A48" s="56" t="str">
        <f t="array" ref="A48">IF($A$2 &lt;&gt; "",IFERROR(INDEX('FORMAL PROCUREMENT (IFB &amp; RFP)'!$B$7:$B$34,SMALL(IF('FORMAL PROCUREMENT (IFB &amp; RFP)'!$D$6:$I$334=$A$2,ROW('FORMAL PROCUREMENT (IFB &amp; RFP)'!$B$7:$B$34)-ROW('FORMAL PROCUREMENT (IFB &amp; RFP)'!$B$7)+1),ROWS('FORMAL PROCUREMENT (IFB &amp; RFP)'!$B$7:'FORMAL PROCUREMENT (IFB &amp; RFP)'!$B51))),""),"")</f>
        <v/>
      </c>
      <c r="B48" s="56" t="str">
        <f>IFERROR(VLOOKUP(A48,'FORMAL PROCUREMENT (IFB &amp; RFP)'!$B:$J,9,0), "")</f>
        <v/>
      </c>
      <c r="C48" s="63"/>
      <c r="D48" s="63"/>
      <c r="E48" s="75"/>
      <c r="F48" s="56" t="str">
        <f t="array" ref="F48">IF($F$2 &lt;&gt; "",IFERROR(INDEX('FORMAL PROCUREMENT (IFB &amp; RFP)'!$B$7:$B$34,SMALL(IF('FORMAL PROCUREMENT (IFB &amp; RFP)'!$D$6:$I$334=$F$2,ROW('FORMAL PROCUREMENT (IFB &amp; RFP)'!$B$7:$B$34)-ROW('FORMAL PROCUREMENT (IFB &amp; RFP)'!$B$7)+1),ROWS('FORMAL PROCUREMENT (IFB &amp; RFP)'!$B$7:'FORMAL PROCUREMENT (IFB &amp; RFP)'!$B51))),""),"")</f>
        <v/>
      </c>
      <c r="G48" s="56" t="str">
        <f>IFERROR(VLOOKUP(F48,'FORMAL PROCUREMENT (IFB &amp; RFP)'!$B:$J,9,0), "")</f>
        <v/>
      </c>
      <c r="H48" s="63"/>
      <c r="I48" s="63"/>
      <c r="J48" s="75"/>
      <c r="K48" s="56" t="str">
        <f t="array" ref="K48">IF($K$2 &lt;&gt; "",IFERROR(INDEX('FORMAL PROCUREMENT (IFB &amp; RFP)'!$B$7:$B$34,SMALL(IF('FORMAL PROCUREMENT (IFB &amp; RFP)'!$D$6:$I$334=$K$2,ROW('FORMAL PROCUREMENT (IFB &amp; RFP)'!$B$7:$B$34)-ROW('FORMAL PROCUREMENT (IFB &amp; RFP)'!$B$7)+1),ROWS('FORMAL PROCUREMENT (IFB &amp; RFP)'!$B$7:'FORMAL PROCUREMENT (IFB &amp; RFP)'!$B51))),""),"")</f>
        <v/>
      </c>
      <c r="L48" s="56" t="str">
        <f>IFERROR(VLOOKUP(K48,'FORMAL PROCUREMENT (IFB &amp; RFP)'!$B:$J,9,0), "")</f>
        <v/>
      </c>
      <c r="M48" s="63"/>
      <c r="N48" s="63"/>
      <c r="O48" s="75"/>
      <c r="P48" s="56" t="str">
        <f t="array" ref="P48">IF($P$2 &lt;&gt; "",IFERROR(INDEX('FORMAL PROCUREMENT (IFB &amp; RFP)'!$B$7:$B$34,SMALL(IF('FORMAL PROCUREMENT (IFB &amp; RFP)'!$D$6:$I$334=$P$2,ROW('FORMAL PROCUREMENT (IFB &amp; RFP)'!$B$7:$B$34)-ROW('FORMAL PROCUREMENT (IFB &amp; RFP)'!$B$7)+1),ROWS('FORMAL PROCUREMENT (IFB &amp; RFP)'!$B$7:'FORMAL PROCUREMENT (IFB &amp; RFP)'!$B51))),""),"")</f>
        <v/>
      </c>
      <c r="Q48" s="56" t="str">
        <f>IFERROR(VLOOKUP(P48,'FORMAL PROCUREMENT (IFB &amp; RFP)'!$B:$J,9,0), "")</f>
        <v/>
      </c>
      <c r="R48" s="63"/>
      <c r="S48" s="63"/>
      <c r="T48" s="75"/>
      <c r="U48" s="56" t="str">
        <f t="array" ref="U48">IF($U$2 &lt;&gt; "",IFERROR(INDEX('FORMAL PROCUREMENT (IFB &amp; RFP)'!$B$7:$B$34,SMALL(IF('FORMAL PROCUREMENT (IFB &amp; RFP)'!$D$6:$I$334=$U$2,ROW('FORMAL PROCUREMENT (IFB &amp; RFP)'!$B$7:$B$34)-ROW('FORMAL PROCUREMENT (IFB &amp; RFP)'!$B$7)+1),ROWS('FORMAL PROCUREMENT (IFB &amp; RFP)'!$B$7:'FORMAL PROCUREMENT (IFB &amp; RFP)'!$B51))),""),"")</f>
        <v/>
      </c>
      <c r="V48" s="56" t="str">
        <f>IFERROR(VLOOKUP(U48,'FORMAL PROCUREMENT (IFB &amp; RFP)'!$B:$J,9,0), "")</f>
        <v/>
      </c>
      <c r="W48" s="63"/>
      <c r="X48" s="63"/>
      <c r="Y48" s="75"/>
      <c r="Z48" s="56" t="str">
        <f t="array" ref="Z48">IF($Z$2 &lt;&gt; "",IFERROR(INDEX('FORMAL PROCUREMENT (IFB &amp; RFP)'!$B$7:$B$34,SMALL(IF('FORMAL PROCUREMENT (IFB &amp; RFP)'!$D$6:$I$334=$Z$2,ROW('FORMAL PROCUREMENT (IFB &amp; RFP)'!$B$7:$B$34)-ROW('FORMAL PROCUREMENT (IFB &amp; RFP)'!$B$7)+1),ROWS('FORMAL PROCUREMENT (IFB &amp; RFP)'!$B$7:'FORMAL PROCUREMENT (IFB &amp; RFP)'!$B51))),""),"")</f>
        <v/>
      </c>
      <c r="AA48" s="56" t="str">
        <f>IFERROR(VLOOKUP(Z48,'FORMAL PROCUREMENT (IFB &amp; RFP)'!$B:$J,9,0), "")</f>
        <v/>
      </c>
      <c r="AB48" s="63"/>
      <c r="AC48" s="63"/>
      <c r="AD48" s="75"/>
      <c r="AE48" s="82"/>
      <c r="AF48" s="82"/>
      <c r="AG48" s="82"/>
      <c r="AH48" s="82"/>
      <c r="AI48" s="82"/>
      <c r="AJ48" s="82"/>
      <c r="AK48" s="82"/>
      <c r="AL48" s="82"/>
    </row>
    <row r="49" spans="1:38" s="83" customFormat="1" ht="15.75" x14ac:dyDescent="0.25">
      <c r="A49" s="56" t="str">
        <f t="array" ref="A49">IF($A$2 &lt;&gt; "",IFERROR(INDEX('FORMAL PROCUREMENT (IFB &amp; RFP)'!$B$7:$B$34,SMALL(IF('FORMAL PROCUREMENT (IFB &amp; RFP)'!$D$6:$I$334=$A$2,ROW('FORMAL PROCUREMENT (IFB &amp; RFP)'!$B$7:$B$34)-ROW('FORMAL PROCUREMENT (IFB &amp; RFP)'!$B$7)+1),ROWS('FORMAL PROCUREMENT (IFB &amp; RFP)'!$B$7:'FORMAL PROCUREMENT (IFB &amp; RFP)'!$B52))),""),"")</f>
        <v/>
      </c>
      <c r="B49" s="56" t="str">
        <f>IFERROR(VLOOKUP(A49,'FORMAL PROCUREMENT (IFB &amp; RFP)'!$B:$J,9,0), "")</f>
        <v/>
      </c>
      <c r="C49" s="63"/>
      <c r="D49" s="63"/>
      <c r="E49" s="75"/>
      <c r="F49" s="56" t="str">
        <f t="array" ref="F49">IF($F$2 &lt;&gt; "",IFERROR(INDEX('FORMAL PROCUREMENT (IFB &amp; RFP)'!$B$7:$B$34,SMALL(IF('FORMAL PROCUREMENT (IFB &amp; RFP)'!$D$6:$I$334=$F$2,ROW('FORMAL PROCUREMENT (IFB &amp; RFP)'!$B$7:$B$34)-ROW('FORMAL PROCUREMENT (IFB &amp; RFP)'!$B$7)+1),ROWS('FORMAL PROCUREMENT (IFB &amp; RFP)'!$B$7:'FORMAL PROCUREMENT (IFB &amp; RFP)'!$B52))),""),"")</f>
        <v/>
      </c>
      <c r="G49" s="56" t="str">
        <f>IFERROR(VLOOKUP(F49,'FORMAL PROCUREMENT (IFB &amp; RFP)'!$B:$J,9,0), "")</f>
        <v/>
      </c>
      <c r="H49" s="63"/>
      <c r="I49" s="63"/>
      <c r="J49" s="75"/>
      <c r="K49" s="56" t="str">
        <f t="array" ref="K49">IF($K$2 &lt;&gt; "",IFERROR(INDEX('FORMAL PROCUREMENT (IFB &amp; RFP)'!$B$7:$B$34,SMALL(IF('FORMAL PROCUREMENT (IFB &amp; RFP)'!$D$6:$I$334=$K$2,ROW('FORMAL PROCUREMENT (IFB &amp; RFP)'!$B$7:$B$34)-ROW('FORMAL PROCUREMENT (IFB &amp; RFP)'!$B$7)+1),ROWS('FORMAL PROCUREMENT (IFB &amp; RFP)'!$B$7:'FORMAL PROCUREMENT (IFB &amp; RFP)'!$B52))),""),"")</f>
        <v/>
      </c>
      <c r="L49" s="56" t="str">
        <f>IFERROR(VLOOKUP(K49,'FORMAL PROCUREMENT (IFB &amp; RFP)'!$B:$J,9,0), "")</f>
        <v/>
      </c>
      <c r="M49" s="63"/>
      <c r="N49" s="63"/>
      <c r="O49" s="75"/>
      <c r="P49" s="56" t="str">
        <f t="array" ref="P49">IF($P$2 &lt;&gt; "",IFERROR(INDEX('FORMAL PROCUREMENT (IFB &amp; RFP)'!$B$7:$B$34,SMALL(IF('FORMAL PROCUREMENT (IFB &amp; RFP)'!$D$6:$I$334=$P$2,ROW('FORMAL PROCUREMENT (IFB &amp; RFP)'!$B$7:$B$34)-ROW('FORMAL PROCUREMENT (IFB &amp; RFP)'!$B$7)+1),ROWS('FORMAL PROCUREMENT (IFB &amp; RFP)'!$B$7:'FORMAL PROCUREMENT (IFB &amp; RFP)'!$B52))),""),"")</f>
        <v/>
      </c>
      <c r="Q49" s="56" t="str">
        <f>IFERROR(VLOOKUP(P49,'FORMAL PROCUREMENT (IFB &amp; RFP)'!$B:$J,9,0), "")</f>
        <v/>
      </c>
      <c r="R49" s="63"/>
      <c r="S49" s="63"/>
      <c r="T49" s="75"/>
      <c r="U49" s="56" t="str">
        <f t="array" ref="U49">IF($U$2 &lt;&gt; "",IFERROR(INDEX('FORMAL PROCUREMENT (IFB &amp; RFP)'!$B$7:$B$34,SMALL(IF('FORMAL PROCUREMENT (IFB &amp; RFP)'!$D$6:$I$334=$U$2,ROW('FORMAL PROCUREMENT (IFB &amp; RFP)'!$B$7:$B$34)-ROW('FORMAL PROCUREMENT (IFB &amp; RFP)'!$B$7)+1),ROWS('FORMAL PROCUREMENT (IFB &amp; RFP)'!$B$7:'FORMAL PROCUREMENT (IFB &amp; RFP)'!$B52))),""),"")</f>
        <v/>
      </c>
      <c r="V49" s="56" t="str">
        <f>IFERROR(VLOOKUP(U49,'FORMAL PROCUREMENT (IFB &amp; RFP)'!$B:$J,9,0), "")</f>
        <v/>
      </c>
      <c r="W49" s="63"/>
      <c r="X49" s="63"/>
      <c r="Y49" s="75"/>
      <c r="Z49" s="56" t="str">
        <f t="array" ref="Z49">IF($Z$2 &lt;&gt; "",IFERROR(INDEX('FORMAL PROCUREMENT (IFB &amp; RFP)'!$B$7:$B$34,SMALL(IF('FORMAL PROCUREMENT (IFB &amp; RFP)'!$D$6:$I$334=$Z$2,ROW('FORMAL PROCUREMENT (IFB &amp; RFP)'!$B$7:$B$34)-ROW('FORMAL PROCUREMENT (IFB &amp; RFP)'!$B$7)+1),ROWS('FORMAL PROCUREMENT (IFB &amp; RFP)'!$B$7:'FORMAL PROCUREMENT (IFB &amp; RFP)'!$B52))),""),"")</f>
        <v/>
      </c>
      <c r="AA49" s="56" t="str">
        <f>IFERROR(VLOOKUP(Z49,'FORMAL PROCUREMENT (IFB &amp; RFP)'!$B:$J,9,0), "")</f>
        <v/>
      </c>
      <c r="AB49" s="63"/>
      <c r="AC49" s="63"/>
      <c r="AD49" s="75"/>
      <c r="AE49" s="82"/>
      <c r="AF49" s="82"/>
      <c r="AG49" s="82"/>
      <c r="AH49" s="82"/>
      <c r="AI49" s="82"/>
      <c r="AJ49" s="82"/>
      <c r="AK49" s="82"/>
      <c r="AL49" s="82"/>
    </row>
    <row r="50" spans="1:38" x14ac:dyDescent="0.2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row>
    <row r="51" spans="1:38" x14ac:dyDescent="0.2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row>
    <row r="52" spans="1:38" x14ac:dyDescent="0.2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row>
    <row r="53" spans="1:38" x14ac:dyDescent="0.2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row>
    <row r="54" spans="1:38" x14ac:dyDescent="0.2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row>
    <row r="55" spans="1:38" x14ac:dyDescent="0.2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row>
    <row r="56" spans="1:38" x14ac:dyDescent="0.2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row>
    <row r="57" spans="1:38" x14ac:dyDescent="0.2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row>
    <row r="58" spans="1:38" x14ac:dyDescent="0.2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row>
    <row r="59" spans="1:38" x14ac:dyDescent="0.2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row>
    <row r="60" spans="1:38" x14ac:dyDescent="0.2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row>
    <row r="61" spans="1:38" x14ac:dyDescent="0.2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row>
    <row r="62" spans="1:38" x14ac:dyDescent="0.2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row>
    <row r="63" spans="1:38" x14ac:dyDescent="0.2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row>
    <row r="64" spans="1:38" x14ac:dyDescent="0.2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row>
    <row r="65" spans="1:30" x14ac:dyDescent="0.2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row>
    <row r="66" spans="1:30"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row>
    <row r="67" spans="1:30"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row>
    <row r="68" spans="1:30"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row>
    <row r="69" spans="1:30"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row>
    <row r="70" spans="1:30"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row>
    <row r="71" spans="1:30"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row>
    <row r="72" spans="1:30"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row>
    <row r="73" spans="1:30"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row>
    <row r="74" spans="1:30"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row>
    <row r="75" spans="1:30"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row>
    <row r="76" spans="1:30"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row>
    <row r="77" spans="1:30"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row>
    <row r="78" spans="1:30"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row>
    <row r="79" spans="1:30"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row>
    <row r="80" spans="1:30"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row>
    <row r="81" spans="1:30"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row>
    <row r="82" spans="1:30"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row>
    <row r="83" spans="1:30"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row>
    <row r="84" spans="1:30"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row>
    <row r="85" spans="1:30"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row>
    <row r="86" spans="1:30"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row>
    <row r="87" spans="1:30"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row>
    <row r="88" spans="1:30"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row>
    <row r="89" spans="1:30"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row>
    <row r="90" spans="1:30"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row>
    <row r="91" spans="1:30"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row>
    <row r="92" spans="1:30"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row>
    <row r="93" spans="1:30"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row>
    <row r="94" spans="1:30"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row>
    <row r="95" spans="1:30"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row>
    <row r="96" spans="1:30"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row>
    <row r="97" spans="1:30"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row>
    <row r="98" spans="1:30"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row>
    <row r="99" spans="1:30"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row>
    <row r="100" spans="1:30"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row>
    <row r="101" spans="1:30"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row>
    <row r="102" spans="1:30"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row>
    <row r="103" spans="1:30"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row>
  </sheetData>
  <mergeCells count="7">
    <mergeCell ref="A1:AD1"/>
    <mergeCell ref="Z2:AC2"/>
    <mergeCell ref="A2:D2"/>
    <mergeCell ref="F2:I2"/>
    <mergeCell ref="K2:N2"/>
    <mergeCell ref="P2:S2"/>
    <mergeCell ref="U2:X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CCFF"/>
  </sheetPr>
  <dimension ref="A1:B151"/>
  <sheetViews>
    <sheetView topLeftCell="A130" zoomScale="90" zoomScaleNormal="90" workbookViewId="0">
      <selection activeCell="A144" sqref="A144"/>
    </sheetView>
  </sheetViews>
  <sheetFormatPr defaultRowHeight="15" x14ac:dyDescent="0.25"/>
  <cols>
    <col min="1" max="1" width="152.5703125" customWidth="1"/>
  </cols>
  <sheetData>
    <row r="1" spans="1:1" ht="19.5" thickBot="1" x14ac:dyDescent="0.35">
      <c r="A1" s="431" t="s">
        <v>855</v>
      </c>
    </row>
    <row r="2" spans="1:1" ht="32.25" thickBot="1" x14ac:dyDescent="0.3">
      <c r="A2" s="156" t="s">
        <v>856</v>
      </c>
    </row>
    <row r="3" spans="1:1" ht="15.75" x14ac:dyDescent="0.25">
      <c r="A3" s="160" t="s">
        <v>299</v>
      </c>
    </row>
    <row r="4" spans="1:1" ht="75.75" customHeight="1" x14ac:dyDescent="0.25">
      <c r="A4" s="571" t="s">
        <v>825</v>
      </c>
    </row>
    <row r="5" spans="1:1" ht="45" x14ac:dyDescent="0.25">
      <c r="A5" s="572" t="s">
        <v>826</v>
      </c>
    </row>
    <row r="6" spans="1:1" ht="15.75" x14ac:dyDescent="0.25">
      <c r="A6" s="162" t="s">
        <v>300</v>
      </c>
    </row>
    <row r="7" spans="1:1" ht="60" x14ac:dyDescent="0.25">
      <c r="A7" s="504" t="s">
        <v>857</v>
      </c>
    </row>
    <row r="8" spans="1:1" ht="15.75" x14ac:dyDescent="0.25">
      <c r="A8" s="3"/>
    </row>
    <row r="9" spans="1:1" ht="63.75" customHeight="1" thickBot="1" x14ac:dyDescent="0.3">
      <c r="A9" s="3" t="s">
        <v>858</v>
      </c>
    </row>
    <row r="10" spans="1:1" ht="16.5" thickBot="1" x14ac:dyDescent="0.3">
      <c r="A10" s="167"/>
    </row>
    <row r="11" spans="1:1" ht="15.75" x14ac:dyDescent="0.25">
      <c r="A11" s="166" t="s">
        <v>301</v>
      </c>
    </row>
    <row r="12" spans="1:1" ht="31.5" x14ac:dyDescent="0.25">
      <c r="A12" s="163" t="s">
        <v>859</v>
      </c>
    </row>
    <row r="13" spans="1:1" ht="15.75" x14ac:dyDescent="0.25">
      <c r="A13" s="163" t="s">
        <v>504</v>
      </c>
    </row>
    <row r="14" spans="1:1" ht="15.75" x14ac:dyDescent="0.25">
      <c r="A14" s="164" t="s">
        <v>302</v>
      </c>
    </row>
    <row r="15" spans="1:1" ht="15.75" x14ac:dyDescent="0.25">
      <c r="A15" s="164" t="s">
        <v>303</v>
      </c>
    </row>
    <row r="16" spans="1:1" ht="15.75" x14ac:dyDescent="0.25">
      <c r="A16" s="164" t="s">
        <v>420</v>
      </c>
    </row>
    <row r="17" spans="1:1" ht="15.75" x14ac:dyDescent="0.25">
      <c r="A17" s="164" t="s">
        <v>860</v>
      </c>
    </row>
    <row r="18" spans="1:1" ht="15.75" x14ac:dyDescent="0.25">
      <c r="A18" s="164" t="s">
        <v>861</v>
      </c>
    </row>
    <row r="19" spans="1:1" ht="15.75" x14ac:dyDescent="0.25">
      <c r="A19" s="164" t="s">
        <v>304</v>
      </c>
    </row>
    <row r="20" spans="1:1" ht="15.75" x14ac:dyDescent="0.25">
      <c r="A20" s="164" t="s">
        <v>305</v>
      </c>
    </row>
    <row r="21" spans="1:1" ht="15.75" x14ac:dyDescent="0.25">
      <c r="A21" s="165" t="s">
        <v>306</v>
      </c>
    </row>
    <row r="22" spans="1:1" ht="15.75" x14ac:dyDescent="0.25">
      <c r="A22" s="168" t="s">
        <v>384</v>
      </c>
    </row>
    <row r="23" spans="1:1" ht="15.75" x14ac:dyDescent="0.25">
      <c r="A23" s="169" t="s">
        <v>862</v>
      </c>
    </row>
    <row r="24" spans="1:1" ht="31.5" x14ac:dyDescent="0.25">
      <c r="A24" s="170" t="s">
        <v>307</v>
      </c>
    </row>
    <row r="25" spans="1:1" ht="15.75" x14ac:dyDescent="0.25">
      <c r="A25" s="164" t="s">
        <v>308</v>
      </c>
    </row>
    <row r="26" spans="1:1" ht="15.75" x14ac:dyDescent="0.25">
      <c r="A26" s="164" t="s">
        <v>309</v>
      </c>
    </row>
    <row r="27" spans="1:1" ht="51" customHeight="1" x14ac:dyDescent="0.25">
      <c r="A27" s="163" t="s">
        <v>827</v>
      </c>
    </row>
    <row r="28" spans="1:1" ht="29.25" customHeight="1" x14ac:dyDescent="0.25">
      <c r="A28" s="161" t="s">
        <v>442</v>
      </c>
    </row>
    <row r="29" spans="1:1" ht="21" x14ac:dyDescent="0.35">
      <c r="A29" s="37"/>
    </row>
    <row r="30" spans="1:1" ht="15.75" x14ac:dyDescent="0.25">
      <c r="A30" s="171" t="s">
        <v>863</v>
      </c>
    </row>
    <row r="31" spans="1:1" ht="31.5" x14ac:dyDescent="0.25">
      <c r="A31" s="170" t="s">
        <v>505</v>
      </c>
    </row>
    <row r="32" spans="1:1" ht="15.75" x14ac:dyDescent="0.25">
      <c r="A32" s="163"/>
    </row>
    <row r="33" spans="1:1" ht="31.5" x14ac:dyDescent="0.25">
      <c r="A33" s="163" t="s">
        <v>443</v>
      </c>
    </row>
    <row r="34" spans="1:1" ht="15.75" x14ac:dyDescent="0.25">
      <c r="A34" s="163"/>
    </row>
    <row r="35" spans="1:1" ht="47.25" x14ac:dyDescent="0.25">
      <c r="A35" s="163" t="s">
        <v>864</v>
      </c>
    </row>
    <row r="36" spans="1:1" ht="31.5" x14ac:dyDescent="0.25">
      <c r="A36" s="163" t="s">
        <v>828</v>
      </c>
    </row>
    <row r="37" spans="1:1" ht="31.5" x14ac:dyDescent="0.25">
      <c r="A37" s="163" t="s">
        <v>506</v>
      </c>
    </row>
    <row r="38" spans="1:1" ht="21" x14ac:dyDescent="0.35">
      <c r="A38" s="38"/>
    </row>
    <row r="39" spans="1:1" ht="31.5" x14ac:dyDescent="0.25">
      <c r="A39" s="161" t="s">
        <v>865</v>
      </c>
    </row>
    <row r="40" spans="1:1" ht="21" x14ac:dyDescent="0.35">
      <c r="A40" s="37"/>
    </row>
    <row r="41" spans="1:1" ht="15.75" x14ac:dyDescent="0.25">
      <c r="A41" s="172" t="s">
        <v>866</v>
      </c>
    </row>
    <row r="42" spans="1:1" ht="47.25" x14ac:dyDescent="0.25">
      <c r="A42" s="495" t="s">
        <v>867</v>
      </c>
    </row>
    <row r="43" spans="1:1" ht="21" x14ac:dyDescent="0.35">
      <c r="A43" s="38"/>
    </row>
    <row r="44" spans="1:1" s="11" customFormat="1" ht="15.75" x14ac:dyDescent="0.25">
      <c r="A44" s="163" t="s">
        <v>829</v>
      </c>
    </row>
    <row r="45" spans="1:1" s="11" customFormat="1" ht="15.75" x14ac:dyDescent="0.25">
      <c r="A45" s="163" t="s">
        <v>444</v>
      </c>
    </row>
    <row r="46" spans="1:1" s="11" customFormat="1" ht="15.75" x14ac:dyDescent="0.25">
      <c r="A46" s="163" t="s">
        <v>868</v>
      </c>
    </row>
    <row r="47" spans="1:1" s="11" customFormat="1" ht="15.75" x14ac:dyDescent="0.25">
      <c r="A47" s="163" t="s">
        <v>415</v>
      </c>
    </row>
    <row r="48" spans="1:1" s="11" customFormat="1" ht="15.75" x14ac:dyDescent="0.25">
      <c r="A48" s="163" t="s">
        <v>830</v>
      </c>
    </row>
    <row r="49" spans="1:1" s="11" customFormat="1" ht="15.75" x14ac:dyDescent="0.25">
      <c r="A49" s="163"/>
    </row>
    <row r="50" spans="1:1" s="11" customFormat="1" ht="15.75" x14ac:dyDescent="0.25">
      <c r="A50" s="163" t="s">
        <v>310</v>
      </c>
    </row>
    <row r="51" spans="1:1" s="11" customFormat="1" ht="15.75" x14ac:dyDescent="0.25">
      <c r="A51" s="163" t="s">
        <v>869</v>
      </c>
    </row>
    <row r="52" spans="1:1" s="11" customFormat="1" ht="15.75" x14ac:dyDescent="0.25">
      <c r="A52" s="163" t="s">
        <v>870</v>
      </c>
    </row>
    <row r="53" spans="1:1" ht="21" x14ac:dyDescent="0.35">
      <c r="A53" s="38"/>
    </row>
    <row r="54" spans="1:1" ht="31.5" x14ac:dyDescent="0.25">
      <c r="A54" s="163" t="s">
        <v>871</v>
      </c>
    </row>
    <row r="55" spans="1:1" ht="31.5" x14ac:dyDescent="0.25">
      <c r="A55" s="163" t="s">
        <v>872</v>
      </c>
    </row>
    <row r="56" spans="1:1" ht="15.75" x14ac:dyDescent="0.25">
      <c r="A56" s="163" t="s">
        <v>873</v>
      </c>
    </row>
    <row r="57" spans="1:1" ht="15.75" x14ac:dyDescent="0.25">
      <c r="A57" s="163" t="s">
        <v>874</v>
      </c>
    </row>
    <row r="58" spans="1:1" ht="21" x14ac:dyDescent="0.35">
      <c r="A58" s="38"/>
    </row>
    <row r="59" spans="1:1" ht="21" x14ac:dyDescent="0.35">
      <c r="A59" s="37"/>
    </row>
    <row r="60" spans="1:1" ht="15.75" x14ac:dyDescent="0.25">
      <c r="A60" s="172" t="s">
        <v>875</v>
      </c>
    </row>
    <row r="61" spans="1:1" ht="15.75" x14ac:dyDescent="0.25">
      <c r="A61" s="164" t="s">
        <v>445</v>
      </c>
    </row>
    <row r="62" spans="1:1" ht="15.75" x14ac:dyDescent="0.25">
      <c r="A62" s="164" t="s">
        <v>876</v>
      </c>
    </row>
    <row r="63" spans="1:1" ht="47.25" x14ac:dyDescent="0.25">
      <c r="A63" s="163" t="s">
        <v>877</v>
      </c>
    </row>
    <row r="64" spans="1:1" ht="15.75" x14ac:dyDescent="0.25">
      <c r="A64" s="158" t="s">
        <v>385</v>
      </c>
    </row>
    <row r="65" spans="1:1" ht="31.5" x14ac:dyDescent="0.25">
      <c r="A65" s="158" t="s">
        <v>878</v>
      </c>
    </row>
    <row r="66" spans="1:1" ht="15.75" x14ac:dyDescent="0.25">
      <c r="A66" s="158" t="s">
        <v>324</v>
      </c>
    </row>
    <row r="67" spans="1:1" ht="15.75" x14ac:dyDescent="0.25">
      <c r="A67" s="158" t="s">
        <v>879</v>
      </c>
    </row>
    <row r="68" spans="1:1" ht="15.75" x14ac:dyDescent="0.25">
      <c r="A68" s="158" t="s">
        <v>325</v>
      </c>
    </row>
    <row r="69" spans="1:1" ht="47.25" x14ac:dyDescent="0.25">
      <c r="A69" s="159" t="s">
        <v>880</v>
      </c>
    </row>
    <row r="70" spans="1:1" ht="26.25" customHeight="1" x14ac:dyDescent="0.25">
      <c r="A70" s="158" t="s">
        <v>881</v>
      </c>
    </row>
    <row r="71" spans="1:1" ht="47.25" x14ac:dyDescent="0.25">
      <c r="A71" s="158" t="s">
        <v>831</v>
      </c>
    </row>
    <row r="72" spans="1:1" ht="15.75" x14ac:dyDescent="0.25">
      <c r="A72" s="172" t="s">
        <v>882</v>
      </c>
    </row>
    <row r="73" spans="1:1" ht="15.75" x14ac:dyDescent="0.25">
      <c r="A73" s="170" t="s">
        <v>311</v>
      </c>
    </row>
    <row r="74" spans="1:1" ht="15.75" x14ac:dyDescent="0.25">
      <c r="A74" s="163" t="s">
        <v>507</v>
      </c>
    </row>
    <row r="75" spans="1:1" ht="15.75" x14ac:dyDescent="0.25">
      <c r="A75" s="163" t="s">
        <v>312</v>
      </c>
    </row>
    <row r="76" spans="1:1" ht="15.75" x14ac:dyDescent="0.25">
      <c r="A76" s="163" t="s">
        <v>313</v>
      </c>
    </row>
    <row r="77" spans="1:1" ht="15.75" x14ac:dyDescent="0.25">
      <c r="A77" s="163" t="s">
        <v>885</v>
      </c>
    </row>
    <row r="78" spans="1:1" ht="15.75" x14ac:dyDescent="0.25">
      <c r="A78" s="163" t="s">
        <v>314</v>
      </c>
    </row>
    <row r="79" spans="1:1" ht="17.25" customHeight="1" x14ac:dyDescent="0.25">
      <c r="A79" s="325" t="s">
        <v>883</v>
      </c>
    </row>
    <row r="80" spans="1:1" ht="21" x14ac:dyDescent="0.35">
      <c r="A80" s="38"/>
    </row>
    <row r="81" spans="1:1" ht="21" x14ac:dyDescent="0.35">
      <c r="A81" s="37"/>
    </row>
    <row r="82" spans="1:1" ht="15.75" x14ac:dyDescent="0.25">
      <c r="A82" s="172" t="s">
        <v>884</v>
      </c>
    </row>
    <row r="83" spans="1:1" ht="31.5" x14ac:dyDescent="0.25">
      <c r="A83" s="170" t="s">
        <v>315</v>
      </c>
    </row>
    <row r="84" spans="1:1" ht="15.75" x14ac:dyDescent="0.25">
      <c r="A84" s="164" t="s">
        <v>316</v>
      </c>
    </row>
    <row r="85" spans="1:1" ht="15.75" x14ac:dyDescent="0.25">
      <c r="A85" s="164" t="s">
        <v>317</v>
      </c>
    </row>
    <row r="86" spans="1:1" ht="15.75" x14ac:dyDescent="0.25">
      <c r="A86" s="164" t="s">
        <v>446</v>
      </c>
    </row>
    <row r="87" spans="1:1" ht="15.75" x14ac:dyDescent="0.25">
      <c r="A87" s="164" t="s">
        <v>886</v>
      </c>
    </row>
    <row r="88" spans="1:1" ht="15.75" x14ac:dyDescent="0.25">
      <c r="A88" s="164" t="s">
        <v>320</v>
      </c>
    </row>
    <row r="89" spans="1:1" ht="15.75" x14ac:dyDescent="0.25">
      <c r="A89" s="164" t="s">
        <v>321</v>
      </c>
    </row>
    <row r="90" spans="1:1" ht="15.75" x14ac:dyDescent="0.25">
      <c r="A90" s="164" t="s">
        <v>322</v>
      </c>
    </row>
    <row r="91" spans="1:1" ht="20.25" customHeight="1" x14ac:dyDescent="0.25">
      <c r="A91" s="164" t="s">
        <v>887</v>
      </c>
    </row>
    <row r="92" spans="1:1" ht="63" x14ac:dyDescent="0.25">
      <c r="A92" s="161" t="s">
        <v>888</v>
      </c>
    </row>
    <row r="93" spans="1:1" ht="21" x14ac:dyDescent="0.35">
      <c r="A93" s="37"/>
    </row>
    <row r="94" spans="1:1" ht="15.75" x14ac:dyDescent="0.25">
      <c r="A94" s="169" t="s">
        <v>889</v>
      </c>
    </row>
    <row r="95" spans="1:1" ht="31.5" x14ac:dyDescent="0.25">
      <c r="A95" s="163" t="s">
        <v>890</v>
      </c>
    </row>
    <row r="96" spans="1:1" ht="21" x14ac:dyDescent="0.35">
      <c r="A96" s="573"/>
    </row>
    <row r="97" spans="1:2" ht="16.5" thickBot="1" x14ac:dyDescent="0.3">
      <c r="A97" s="323" t="s">
        <v>417</v>
      </c>
    </row>
    <row r="98" spans="1:2" ht="15.75" x14ac:dyDescent="0.25">
      <c r="A98" s="324" t="s">
        <v>832</v>
      </c>
    </row>
    <row r="99" spans="1:2" ht="15.75" x14ac:dyDescent="0.25">
      <c r="A99" s="266" t="s">
        <v>386</v>
      </c>
    </row>
    <row r="100" spans="1:2" ht="36.75" customHeight="1" x14ac:dyDescent="0.25">
      <c r="A100" s="266" t="s">
        <v>891</v>
      </c>
    </row>
    <row r="101" spans="1:2" ht="15.75" x14ac:dyDescent="0.25">
      <c r="A101" s="266" t="s">
        <v>892</v>
      </c>
    </row>
    <row r="102" spans="1:2" ht="15.75" x14ac:dyDescent="0.25">
      <c r="A102" s="266" t="s">
        <v>387</v>
      </c>
    </row>
    <row r="103" spans="1:2" ht="15.75" x14ac:dyDescent="0.25">
      <c r="A103" s="266" t="s">
        <v>388</v>
      </c>
    </row>
    <row r="104" spans="1:2" ht="16.5" thickBot="1" x14ac:dyDescent="0.3">
      <c r="A104" s="266" t="s">
        <v>833</v>
      </c>
    </row>
    <row r="105" spans="1:2" ht="27.75" customHeight="1" thickBot="1" x14ac:dyDescent="0.3">
      <c r="A105" s="574" t="s">
        <v>323</v>
      </c>
    </row>
    <row r="106" spans="1:2" ht="75.75" thickBot="1" x14ac:dyDescent="0.3">
      <c r="A106" s="575" t="s">
        <v>893</v>
      </c>
    </row>
    <row r="107" spans="1:2" ht="15.75" thickBot="1" x14ac:dyDescent="0.3"/>
    <row r="108" spans="1:2" ht="15.75" thickBot="1" x14ac:dyDescent="0.3">
      <c r="A108" s="576" t="s">
        <v>447</v>
      </c>
    </row>
    <row r="109" spans="1:2" ht="15.75" thickBot="1" x14ac:dyDescent="0.3">
      <c r="A109" s="411" t="s">
        <v>352</v>
      </c>
      <c r="B109" s="412" t="s">
        <v>448</v>
      </c>
    </row>
    <row r="110" spans="1:2" ht="15.75" thickBot="1" x14ac:dyDescent="0.3">
      <c r="A110" s="413" t="s">
        <v>353</v>
      </c>
      <c r="B110" s="414"/>
    </row>
    <row r="111" spans="1:2" ht="15.75" thickBot="1" x14ac:dyDescent="0.3">
      <c r="A111" s="413" t="s">
        <v>354</v>
      </c>
      <c r="B111" s="414"/>
    </row>
    <row r="112" spans="1:2" ht="15.75" thickBot="1" x14ac:dyDescent="0.3">
      <c r="A112" s="415" t="s">
        <v>355</v>
      </c>
      <c r="B112" s="414"/>
    </row>
    <row r="113" spans="1:2" ht="15.75" thickBot="1" x14ac:dyDescent="0.3">
      <c r="A113" s="413" t="s">
        <v>449</v>
      </c>
      <c r="B113" s="414"/>
    </row>
    <row r="114" spans="1:2" x14ac:dyDescent="0.25">
      <c r="A114" s="416" t="s">
        <v>450</v>
      </c>
      <c r="B114" s="582"/>
    </row>
    <row r="115" spans="1:2" x14ac:dyDescent="0.25">
      <c r="A115" s="417" t="s">
        <v>451</v>
      </c>
      <c r="B115" s="583"/>
    </row>
    <row r="116" spans="1:2" ht="15.75" thickBot="1" x14ac:dyDescent="0.3">
      <c r="A116" s="418" t="s">
        <v>452</v>
      </c>
      <c r="B116" s="584"/>
    </row>
    <row r="117" spans="1:2" x14ac:dyDescent="0.25">
      <c r="A117" s="416" t="s">
        <v>894</v>
      </c>
      <c r="B117" s="582"/>
    </row>
    <row r="118" spans="1:2" x14ac:dyDescent="0.25">
      <c r="A118" s="417" t="s">
        <v>453</v>
      </c>
      <c r="B118" s="583"/>
    </row>
    <row r="119" spans="1:2" x14ac:dyDescent="0.25">
      <c r="A119" s="417" t="s">
        <v>454</v>
      </c>
      <c r="B119" s="583"/>
    </row>
    <row r="120" spans="1:2" x14ac:dyDescent="0.25">
      <c r="A120" s="417" t="s">
        <v>455</v>
      </c>
      <c r="B120" s="583"/>
    </row>
    <row r="121" spans="1:2" x14ac:dyDescent="0.25">
      <c r="A121" s="417" t="s">
        <v>456</v>
      </c>
      <c r="B121" s="583"/>
    </row>
    <row r="122" spans="1:2" ht="15.75" thickBot="1" x14ac:dyDescent="0.3">
      <c r="A122" s="418" t="s">
        <v>452</v>
      </c>
      <c r="B122" s="584"/>
    </row>
    <row r="123" spans="1:2" x14ac:dyDescent="0.25">
      <c r="A123" s="416" t="s">
        <v>895</v>
      </c>
      <c r="B123" s="582"/>
    </row>
    <row r="124" spans="1:2" x14ac:dyDescent="0.25">
      <c r="A124" s="417" t="s">
        <v>457</v>
      </c>
      <c r="B124" s="583"/>
    </row>
    <row r="125" spans="1:2" x14ac:dyDescent="0.25">
      <c r="A125" s="417" t="s">
        <v>458</v>
      </c>
      <c r="B125" s="583"/>
    </row>
    <row r="126" spans="1:2" x14ac:dyDescent="0.25">
      <c r="A126" s="417" t="s">
        <v>459</v>
      </c>
      <c r="B126" s="583"/>
    </row>
    <row r="127" spans="1:2" x14ac:dyDescent="0.25">
      <c r="A127" s="417" t="s">
        <v>460</v>
      </c>
      <c r="B127" s="583"/>
    </row>
    <row r="128" spans="1:2" x14ac:dyDescent="0.25">
      <c r="A128" s="417" t="s">
        <v>461</v>
      </c>
      <c r="B128" s="583"/>
    </row>
    <row r="129" spans="1:2" x14ac:dyDescent="0.25">
      <c r="A129" s="417" t="s">
        <v>462</v>
      </c>
      <c r="B129" s="583"/>
    </row>
    <row r="130" spans="1:2" ht="15.75" thickBot="1" x14ac:dyDescent="0.3">
      <c r="A130" s="418" t="s">
        <v>463</v>
      </c>
      <c r="B130" s="584"/>
    </row>
    <row r="131" spans="1:2" x14ac:dyDescent="0.25">
      <c r="A131" s="416" t="s">
        <v>896</v>
      </c>
      <c r="B131" s="582"/>
    </row>
    <row r="132" spans="1:2" x14ac:dyDescent="0.25">
      <c r="A132" s="417" t="s">
        <v>464</v>
      </c>
      <c r="B132" s="583"/>
    </row>
    <row r="133" spans="1:2" x14ac:dyDescent="0.25">
      <c r="A133" s="417" t="s">
        <v>458</v>
      </c>
      <c r="B133" s="583"/>
    </row>
    <row r="134" spans="1:2" x14ac:dyDescent="0.25">
      <c r="A134" s="417" t="s">
        <v>465</v>
      </c>
      <c r="B134" s="583"/>
    </row>
    <row r="135" spans="1:2" x14ac:dyDescent="0.25">
      <c r="A135" s="417" t="s">
        <v>466</v>
      </c>
      <c r="B135" s="583"/>
    </row>
    <row r="136" spans="1:2" x14ac:dyDescent="0.25">
      <c r="A136" s="417" t="s">
        <v>467</v>
      </c>
      <c r="B136" s="583"/>
    </row>
    <row r="137" spans="1:2" x14ac:dyDescent="0.25">
      <c r="A137" s="417" t="s">
        <v>468</v>
      </c>
      <c r="B137" s="583"/>
    </row>
    <row r="138" spans="1:2" x14ac:dyDescent="0.25">
      <c r="A138" s="417" t="s">
        <v>469</v>
      </c>
      <c r="B138" s="583"/>
    </row>
    <row r="139" spans="1:2" x14ac:dyDescent="0.25">
      <c r="A139" s="554" t="s">
        <v>834</v>
      </c>
      <c r="B139" s="416"/>
    </row>
    <row r="140" spans="1:2" x14ac:dyDescent="0.25">
      <c r="A140" s="577" t="s">
        <v>835</v>
      </c>
      <c r="B140" s="416"/>
    </row>
    <row r="141" spans="1:2" x14ac:dyDescent="0.25">
      <c r="A141" s="557" t="s">
        <v>836</v>
      </c>
      <c r="B141" s="416"/>
    </row>
    <row r="142" spans="1:2" ht="15.75" thickBot="1" x14ac:dyDescent="0.3">
      <c r="A142" s="557" t="s">
        <v>837</v>
      </c>
      <c r="B142" s="416"/>
    </row>
    <row r="143" spans="1:2" x14ac:dyDescent="0.25">
      <c r="A143" s="416" t="s">
        <v>897</v>
      </c>
      <c r="B143" s="582"/>
    </row>
    <row r="144" spans="1:2" x14ac:dyDescent="0.25">
      <c r="A144" s="419" t="s">
        <v>470</v>
      </c>
      <c r="B144" s="583"/>
    </row>
    <row r="145" spans="1:2" x14ac:dyDescent="0.25">
      <c r="A145" s="419" t="s">
        <v>471</v>
      </c>
      <c r="B145" s="583"/>
    </row>
    <row r="146" spans="1:2" x14ac:dyDescent="0.25">
      <c r="A146" s="419" t="s">
        <v>472</v>
      </c>
      <c r="B146" s="583"/>
    </row>
    <row r="147" spans="1:2" x14ac:dyDescent="0.25">
      <c r="A147" s="419" t="s">
        <v>473</v>
      </c>
      <c r="B147" s="583"/>
    </row>
    <row r="148" spans="1:2" x14ac:dyDescent="0.25">
      <c r="A148" s="419" t="s">
        <v>474</v>
      </c>
      <c r="B148" s="583"/>
    </row>
    <row r="149" spans="1:2" x14ac:dyDescent="0.25">
      <c r="A149" s="419" t="s">
        <v>475</v>
      </c>
      <c r="B149" s="583"/>
    </row>
    <row r="150" spans="1:2" ht="15.75" thickBot="1" x14ac:dyDescent="0.3">
      <c r="A150" s="415"/>
      <c r="B150" s="584"/>
    </row>
    <row r="151" spans="1:2" x14ac:dyDescent="0.25">
      <c r="A151" s="420"/>
    </row>
  </sheetData>
  <mergeCells count="5">
    <mergeCell ref="B114:B116"/>
    <mergeCell ref="B117:B122"/>
    <mergeCell ref="B123:B130"/>
    <mergeCell ref="B131:B138"/>
    <mergeCell ref="B143:B150"/>
  </mergeCells>
  <pageMargins left="0.7" right="0.7" top="0.75" bottom="0.75" header="0.3" footer="0.3"/>
  <pageSetup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AO62"/>
  <sheetViews>
    <sheetView topLeftCell="P1" zoomScale="55" zoomScaleNormal="55" workbookViewId="0">
      <selection activeCell="X23" sqref="X23"/>
    </sheetView>
  </sheetViews>
  <sheetFormatPr defaultColWidth="25.5703125" defaultRowHeight="15" x14ac:dyDescent="0.25"/>
  <cols>
    <col min="1" max="1" width="73" style="60" customWidth="1"/>
    <col min="2" max="2" width="38.140625" style="60" bestFit="1" customWidth="1"/>
    <col min="3" max="4" width="35.5703125" style="60" customWidth="1"/>
    <col min="5" max="5" width="25.5703125" style="60"/>
    <col min="6" max="6" width="73" style="60" customWidth="1"/>
    <col min="7" max="7" width="35.5703125" style="60" bestFit="1" customWidth="1"/>
    <col min="8" max="9" width="35.5703125" style="60" customWidth="1"/>
    <col min="10" max="10" width="25.5703125" style="60"/>
    <col min="11" max="11" width="73" style="60" customWidth="1"/>
    <col min="12" max="12" width="35.5703125" style="60" bestFit="1" customWidth="1"/>
    <col min="13" max="14" width="35.5703125" style="60" customWidth="1"/>
    <col min="15" max="15" width="25.5703125" style="60"/>
    <col min="16" max="16" width="73" style="60" customWidth="1"/>
    <col min="17" max="17" width="35.5703125" style="60" bestFit="1" customWidth="1"/>
    <col min="18" max="19" width="35.5703125" style="60" customWidth="1"/>
    <col min="20" max="20" width="25.5703125" style="60"/>
    <col min="21" max="21" width="73" style="60" customWidth="1"/>
    <col min="22" max="22" width="35.5703125" style="60" bestFit="1" customWidth="1"/>
    <col min="23" max="24" width="35.5703125" style="60" customWidth="1"/>
    <col min="25" max="25" width="25.5703125" style="60"/>
    <col min="26" max="26" width="73" style="60" customWidth="1"/>
    <col min="27" max="27" width="35.5703125" style="60" bestFit="1" customWidth="1"/>
    <col min="28" max="16384" width="25.5703125" style="60"/>
  </cols>
  <sheetData>
    <row r="1" spans="1:41" ht="46.5" x14ac:dyDescent="0.25">
      <c r="A1" s="766" t="str">
        <f>'SFA PROCUREMENT TABLE'!$A$1:$D$1&amp;" - "&amp;"'' 'PROCESSING''' Findings"</f>
        <v xml:space="preserve"> - '' 'PROCESSING''' Findings</v>
      </c>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row>
    <row r="2" spans="1:41" s="90" customFormat="1" ht="26.25" x14ac:dyDescent="0.25">
      <c r="A2" s="776">
        <f t="array" ref="A2">IFERROR( INDEX('SFA PROCUREMENT TABLE'!$A$105:$A$125,  SMALL( IF('SFA PROCUREMENT TABLE'!$I$105:$I$125 = "Select for Review", ROW('SFA PROCUREMENT TABLE'!$A$105:$A$125)-ROW('SFA PROCUREMENT TABLE'!$A$105)+1 ),  ROWS('SFA PROCUREMENT TABLE'!$A$105:'SFA PROCUREMENT TABLE'!$A105)) ),"")</f>
        <v>0</v>
      </c>
      <c r="B2" s="777"/>
      <c r="C2" s="777"/>
      <c r="D2" s="778"/>
      <c r="E2" s="88"/>
      <c r="F2" s="776" t="str">
        <f t="array" ref="F2">IFERROR( INDEX('SFA PROCUREMENT TABLE'!$A$105:$A$125,  SMALL( IF('SFA PROCUREMENT TABLE'!$I$105:$I$125 = "Select for Review", ROW('SFA PROCUREMENT TABLE'!$A$105:$A$125)-ROW('SFA PROCUREMENT TABLE'!$A$105)+1 ),  ROWS('SFA PROCUREMENT TABLE'!$A$105:'SFA PROCUREMENT TABLE'!$A106)) ),"")</f>
        <v/>
      </c>
      <c r="G2" s="777"/>
      <c r="H2" s="777"/>
      <c r="I2" s="778"/>
      <c r="J2" s="88"/>
      <c r="K2" s="776" t="str">
        <f t="array" ref="K2">IFERROR( INDEX('SFA PROCUREMENT TABLE'!$A$105:$A$125,  SMALL( IF('SFA PROCUREMENT TABLE'!$I$105:$I$125 = "Select for Review", ROW('SFA PROCUREMENT TABLE'!$A$105:$A$125)-ROW('SFA PROCUREMENT TABLE'!$A$105)+1 ),  ROWS('SFA PROCUREMENT TABLE'!$A$105:'SFA PROCUREMENT TABLE'!$A107)) ),"")</f>
        <v/>
      </c>
      <c r="L2" s="777"/>
      <c r="M2" s="777"/>
      <c r="N2" s="778"/>
      <c r="O2" s="88"/>
      <c r="P2" s="776" t="str">
        <f t="array" ref="P2">IFERROR( INDEX('SFA PROCUREMENT TABLE'!$A$105:$A$125,  SMALL( IF('SFA PROCUREMENT TABLE'!$I$105:$I$125 = "Select for Review", ROW('SFA PROCUREMENT TABLE'!$A$105:$A$125)-ROW('SFA PROCUREMENT TABLE'!$A$105)+1 ),  ROWS('SFA PROCUREMENT TABLE'!$A$105:'SFA PROCUREMENT TABLE'!$A108)) ),"")</f>
        <v/>
      </c>
      <c r="Q2" s="777"/>
      <c r="R2" s="777"/>
      <c r="S2" s="778"/>
      <c r="T2" s="88"/>
      <c r="U2" s="776" t="str">
        <f t="array" ref="U2">IFERROR( INDEX('SFA PROCUREMENT TABLE'!$A$105:$A$125,  SMALL( IF('SFA PROCUREMENT TABLE'!$I$105:$I$125 = "Select for Review", ROW('SFA PROCUREMENT TABLE'!$A$105:$A$125)-ROW('SFA PROCUREMENT TABLE'!$A$105)+1 ),  ROWS('SFA PROCUREMENT TABLE'!$A$105:'SFA PROCUREMENT TABLE'!$A109)) ),"")</f>
        <v/>
      </c>
      <c r="V2" s="777"/>
      <c r="W2" s="777"/>
      <c r="X2" s="778"/>
      <c r="Y2" s="88"/>
      <c r="Z2" s="776" t="str">
        <f t="array" ref="Z2">IFERROR( INDEX('SFA PROCUREMENT TABLE'!$A$105:$A$125,  SMALL( IF('SFA PROCUREMENT TABLE'!$I$105:$I$125 = "Select for Review", ROW('SFA PROCUREMENT TABLE'!$A$105:$A$125)-ROW('SFA PROCUREMENT TABLE'!$A$105)+1 ),  ROWS('SFA PROCUREMENT TABLE'!$A$105:'SFA PROCUREMENT TABLE'!$A110)) ),"")</f>
        <v/>
      </c>
      <c r="AA2" s="777"/>
      <c r="AB2" s="777"/>
      <c r="AC2" s="778"/>
      <c r="AD2" s="88"/>
      <c r="AE2" s="89"/>
      <c r="AF2" s="89"/>
      <c r="AG2" s="89"/>
      <c r="AH2" s="89"/>
      <c r="AI2" s="89"/>
      <c r="AJ2" s="89"/>
      <c r="AK2" s="89"/>
      <c r="AL2" s="89"/>
      <c r="AM2" s="89"/>
      <c r="AN2" s="89"/>
      <c r="AO2" s="89"/>
    </row>
    <row r="3" spans="1:41" s="74" customFormat="1" ht="21" x14ac:dyDescent="0.25">
      <c r="A3" s="91" t="s">
        <v>39</v>
      </c>
      <c r="B3" s="91" t="s">
        <v>38</v>
      </c>
      <c r="C3" s="70" t="s">
        <v>231</v>
      </c>
      <c r="D3" s="70" t="s">
        <v>232</v>
      </c>
      <c r="E3" s="92"/>
      <c r="F3" s="91" t="s">
        <v>39</v>
      </c>
      <c r="G3" s="91" t="s">
        <v>38</v>
      </c>
      <c r="H3" s="70" t="s">
        <v>231</v>
      </c>
      <c r="I3" s="70" t="s">
        <v>232</v>
      </c>
      <c r="J3" s="92"/>
      <c r="K3" s="91" t="s">
        <v>39</v>
      </c>
      <c r="L3" s="91" t="s">
        <v>38</v>
      </c>
      <c r="M3" s="70" t="s">
        <v>231</v>
      </c>
      <c r="N3" s="70" t="s">
        <v>232</v>
      </c>
      <c r="O3" s="92"/>
      <c r="P3" s="91" t="s">
        <v>39</v>
      </c>
      <c r="Q3" s="91" t="s">
        <v>38</v>
      </c>
      <c r="R3" s="70" t="s">
        <v>231</v>
      </c>
      <c r="S3" s="70" t="s">
        <v>232</v>
      </c>
      <c r="T3" s="92"/>
      <c r="U3" s="91" t="s">
        <v>39</v>
      </c>
      <c r="V3" s="91" t="s">
        <v>38</v>
      </c>
      <c r="W3" s="70" t="s">
        <v>231</v>
      </c>
      <c r="X3" s="70" t="s">
        <v>232</v>
      </c>
      <c r="Y3" s="92"/>
      <c r="Z3" s="91" t="s">
        <v>39</v>
      </c>
      <c r="AA3" s="91" t="s">
        <v>38</v>
      </c>
      <c r="AB3" s="70" t="s">
        <v>231</v>
      </c>
      <c r="AC3" s="70" t="s">
        <v>232</v>
      </c>
      <c r="AD3" s="72"/>
      <c r="AE3" s="73"/>
      <c r="AF3" s="73"/>
      <c r="AG3" s="73"/>
      <c r="AH3" s="73"/>
      <c r="AI3" s="73"/>
      <c r="AJ3" s="73"/>
      <c r="AK3" s="73"/>
      <c r="AL3" s="73"/>
      <c r="AM3" s="73"/>
      <c r="AN3" s="73"/>
      <c r="AO3" s="73"/>
    </row>
    <row r="4" spans="1:41" s="66" customFormat="1" ht="39.6" customHeight="1" x14ac:dyDescent="0.25">
      <c r="A4" s="56" t="str">
        <f t="array" ref="A4">IFERROR( IF($A$2 &lt;&gt; "", INDEX(PROCESSING!$B$4:$B$15,  SMALL( IF( PROCESSING!$D$4:$I$15 = $A$2, ROW(PROCESSING!$B$4:$B$15)-ROW(PROCESSING!$B$4)+1 ),  ROWS(PROCESSING!$B$4:$B4))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4" s="56" t="str">
        <f>IFERROR(VLOOKUP(A4,PROCESSING!$B:$I,9,0), "")</f>
        <v/>
      </c>
      <c r="C4" s="63"/>
      <c r="D4" s="63"/>
      <c r="E4" s="75"/>
      <c r="F4" s="56" t="str">
        <f t="array" ref="F4">IFERROR( IF($F$2 &lt;&gt; "", INDEX(PROCESSING!$B$4:$B$15,  SMALL( IF( PROCESSING!$D$4:$I$15 = $F$2, ROW(PROCESSING!$B$4:$B$15)-ROW(PROCESSING!$B$4)+1 ),  ROWS(PROCESSING!$B$4:$B4)) ),""), "")</f>
        <v/>
      </c>
      <c r="G4" s="56" t="str">
        <f>IFERROR(VLOOKUP(F4,PROCESSING!$B:$I,9,0), "")</f>
        <v/>
      </c>
      <c r="H4" s="63"/>
      <c r="I4" s="63"/>
      <c r="J4" s="75"/>
      <c r="K4" s="56" t="str">
        <f t="array" ref="K4">IFERROR( IF($K$2 &lt;&gt; "", INDEX(PROCESSING!$B$4:$B$15,  SMALL( IF( PROCESSING!$D$4:$I$15 = $K$2, ROW(PROCESSING!$B$4:$B$15)-ROW(PROCESSING!$B$4)+1 ),  ROWS(PROCESSING!$B$4:$B4)) ),""), "")</f>
        <v/>
      </c>
      <c r="L4" s="56" t="str">
        <f>IFERROR(VLOOKUP(K4,PROCESSING!$B:$I,9,0), "")</f>
        <v/>
      </c>
      <c r="M4" s="63"/>
      <c r="N4" s="63"/>
      <c r="O4" s="75"/>
      <c r="P4" s="56" t="str">
        <f t="array" ref="P4">IFERROR( IF($P$2 &lt;&gt; "", INDEX(PROCESSING!$B$4:$B$15,  SMALL( IF( PROCESSING!$D$4:$I$15 = $P$2, ROW(PROCESSING!$B$4:$B$15)-ROW(PROCESSING!$B$4)+1 ),  ROWS(PROCESSING!$B$4:$B4)) ),""), "")</f>
        <v/>
      </c>
      <c r="Q4" s="56" t="str">
        <f>IFERROR(VLOOKUP(P4,PROCESSING!$B:$I,9,0), "")</f>
        <v/>
      </c>
      <c r="R4" s="63"/>
      <c r="S4" s="63"/>
      <c r="T4" s="75"/>
      <c r="U4" s="56" t="str">
        <f t="array" ref="U4">IFERROR( IF($U$2 &lt;&gt; "", INDEX(PROCESSING!$B$4:$B$15,  SMALL( IF( PROCESSING!$D$4:$I$15 = $U$2, ROW(PROCESSING!$B$4:$B$15)-ROW(PROCESSING!$B$4)+1 ),  ROWS(PROCESSING!$B$4:$B4)) ),""), "")</f>
        <v/>
      </c>
      <c r="V4" s="56" t="str">
        <f>IFERROR(VLOOKUP(U4,PROCESSING!$B:$I,9,0), "")</f>
        <v/>
      </c>
      <c r="W4" s="63"/>
      <c r="X4" s="63"/>
      <c r="Y4" s="75"/>
      <c r="Z4" s="56" t="str">
        <f t="array" ref="Z4">IFERROR( IF($Z$2 &lt;&gt; "", INDEX(PROCESSING!$B$4:$B$15,  SMALL( IF( PROCESSING!$D$4:$I$15 = $Z$2, ROW(PROCESSING!$B$4:$B$15)-ROW(PROCESSING!$B$4)+1 ),  ROWS(PROCESSING!$B$4:$B4)) ),""), "")</f>
        <v/>
      </c>
      <c r="AA4" s="56" t="str">
        <f>IFERROR(VLOOKUP(Z4,PROCESSING!$B:$I,9,0), "")</f>
        <v/>
      </c>
      <c r="AB4" s="63"/>
      <c r="AC4" s="63"/>
      <c r="AD4" s="64"/>
      <c r="AE4" s="65"/>
      <c r="AF4" s="65"/>
      <c r="AG4" s="65"/>
      <c r="AH4" s="65"/>
      <c r="AI4" s="65"/>
      <c r="AJ4" s="65"/>
      <c r="AK4" s="65"/>
      <c r="AL4" s="65"/>
      <c r="AM4" s="65"/>
      <c r="AN4" s="65"/>
      <c r="AO4" s="65"/>
    </row>
    <row r="5" spans="1:41" s="66" customFormat="1" ht="126" x14ac:dyDescent="0.25">
      <c r="A5" s="56" t="str">
        <f t="array" ref="A5">IFERROR( IF($A$2 &lt;&gt; "", INDEX(PROCESSING!$B$4:$B$15,  SMALL( IF( PROCESSING!$D$4:$I$15 = $F$2, ROW(PROCESSING!$B$4:$B$15)-ROW(PROCESSING!$B$4)+1 ),  ROWS(PROCESSING!$B$4:$B5))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5" s="56" t="str">
        <f>IFERROR(VLOOKUP(A5,PROCESSING!$B:$I,9,0), "")</f>
        <v/>
      </c>
      <c r="C5" s="63"/>
      <c r="D5" s="63"/>
      <c r="E5" s="75"/>
      <c r="F5" s="56" t="str">
        <f>IFERROR( IF($F$2 &lt;&gt; "", INDEX(PROCESSING!$B$4:$B$15,  SMALL( IF( PROCESSING!$D$4:$I$15 = $F$2, ROW(PROCESSING!$B$4:$B$15)-ROW(PROCESSING!$B$4)+1 ),  ROWS(PROCESSING!$B$4:$B5)) ),""), "")</f>
        <v/>
      </c>
      <c r="G5" s="56" t="str">
        <f>IFERROR(VLOOKUP(F5,PROCESSING!$B:$I,9,0), "")</f>
        <v/>
      </c>
      <c r="H5" s="63"/>
      <c r="I5" s="63"/>
      <c r="J5" s="75"/>
      <c r="K5" s="56" t="str">
        <f t="array" ref="K5">IFERROR( IF($K$2 &lt;&gt; "", INDEX(PROCESSING!$B$4:$B$15,  SMALL( IF( PROCESSING!$D$4:$I$13 = $K$2, ROW(PROCESSING!$B$4:$B$15)-ROW(PROCESSING!$B$4)+1 ),  ROWS(PROCESSING!$B$4:$B5)) ),""), "")</f>
        <v/>
      </c>
      <c r="L5" s="56" t="str">
        <f>IFERROR(VLOOKUP(K5,PROCESSING!$B:$I,9,0), "")</f>
        <v/>
      </c>
      <c r="M5" s="63"/>
      <c r="N5" s="63"/>
      <c r="O5" s="75"/>
      <c r="P5" s="56" t="str">
        <f t="array" ref="P5">IFERROR( IF($P$2 &lt;&gt; "", INDEX(PROCESSING!$B$4:$B$15,  SMALL( IF( PROCESSING!$D$4:$I$15 = $P$2, ROW(PROCESSING!$B$4:$B$15)-ROW(PROCESSING!$B$4)+1 ),  ROWS(PROCESSING!$B$4:$B5)) ),""), "")</f>
        <v/>
      </c>
      <c r="Q5" s="56" t="str">
        <f>IFERROR(VLOOKUP(P5,PROCESSING!$B:$I,9,0), "")</f>
        <v/>
      </c>
      <c r="R5" s="63"/>
      <c r="S5" s="63"/>
      <c r="T5" s="75"/>
      <c r="U5" s="56" t="str">
        <f t="array" ref="U5">IFERROR( IF($U$2 &lt;&gt; "", INDEX(PROCESSING!$B$4:$B$15,  SMALL( IF( PROCESSING!$D$4:$I$15 = $U$2, ROW(PROCESSING!$B$4:$B$15)-ROW(PROCESSING!$B$4)+1 ),  ROWS(PROCESSING!$B$4:$B5)) ),""), "")</f>
        <v/>
      </c>
      <c r="V5" s="56" t="str">
        <f>IFERROR(VLOOKUP(U5,PROCESSING!$B:$I,9,0), "")</f>
        <v/>
      </c>
      <c r="W5" s="63"/>
      <c r="X5" s="63"/>
      <c r="Y5" s="75"/>
      <c r="Z5" s="56" t="str">
        <f t="array" ref="Z5">IFERROR( IF($Z$2 &lt;&gt; "", INDEX(PROCESSING!$B$4:$B$15,  SMALL( IF( PROCESSING!$D$4:$I$15 = $Z$2, ROW(PROCESSING!$B$4:$B$15)-ROW(PROCESSING!$B$4)+1 ),  ROWS(PROCESSING!$B$4:$B5)) ),""), "")</f>
        <v/>
      </c>
      <c r="AA5" s="56" t="str">
        <f>IFERROR(VLOOKUP(Z5,PROCESSING!$B:$I,9,0), "")</f>
        <v/>
      </c>
      <c r="AB5" s="63"/>
      <c r="AC5" s="63"/>
      <c r="AD5" s="64"/>
      <c r="AE5" s="65"/>
      <c r="AF5" s="65"/>
      <c r="AG5" s="65"/>
      <c r="AH5" s="65"/>
      <c r="AI5" s="65"/>
      <c r="AJ5" s="65"/>
      <c r="AK5" s="65"/>
      <c r="AL5" s="65"/>
      <c r="AM5" s="65"/>
      <c r="AN5" s="65"/>
      <c r="AO5" s="65"/>
    </row>
    <row r="6" spans="1:41" s="66" customFormat="1" ht="126" x14ac:dyDescent="0.25">
      <c r="A6" s="56" t="str">
        <f t="array" ref="A6">IFERROR( IF($A$2 &lt;&gt; "", INDEX(PROCESSING!$B$4:$B$15,  SMALL( IF( PROCESSING!$D$4:$I$15 = $F$2, ROW(PROCESSING!$B$4:$B$15)-ROW(PROCESSING!$B$4)+1 ),  ROWS(PROCESSING!$B$4:$B6))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6" s="56" t="str">
        <f>IFERROR(VLOOKUP(A6,PROCESSING!$B:$I,9,0), "")</f>
        <v/>
      </c>
      <c r="C6" s="63"/>
      <c r="D6" s="63"/>
      <c r="E6" s="75"/>
      <c r="F6" s="56" t="str">
        <f>IFERROR( IF($F$2 &lt;&gt; "", INDEX(PROCESSING!$B$4:$B$15,  SMALL( IF( PROCESSING!$D$4:$I$15 = $F$2, ROW(PROCESSING!$B$4:$B$15)-ROW(PROCESSING!$B$4)+1 ),  ROWS(PROCESSING!$B$4:$B6)) ),""), "")</f>
        <v/>
      </c>
      <c r="G6" s="56" t="str">
        <f>IFERROR(VLOOKUP(F6,PROCESSING!$B:$I,9,0), "")</f>
        <v/>
      </c>
      <c r="H6" s="63"/>
      <c r="I6" s="63"/>
      <c r="J6" s="75"/>
      <c r="K6" s="56" t="str">
        <f t="array" ref="K6">IFERROR( IF($K$2 &lt;&gt; "", INDEX(PROCESSING!$B$4:$B$15,  SMALL( IF( PROCESSING!$D$4:$I$13 = $K$2, ROW(PROCESSING!$B$4:$B$15)-ROW(PROCESSING!$B$4)+1 ),  ROWS(PROCESSING!$B$4:$B6)) ),""), "")</f>
        <v/>
      </c>
      <c r="L6" s="56" t="str">
        <f>IFERROR(VLOOKUP(K6,PROCESSING!$B:$I,9,0), "")</f>
        <v/>
      </c>
      <c r="M6" s="63"/>
      <c r="N6" s="63"/>
      <c r="O6" s="75"/>
      <c r="P6" s="56" t="str">
        <f t="array" ref="P6">IFERROR( IF($P$2 &lt;&gt; "", INDEX(PROCESSING!$B$4:$B$15,  SMALL( IF( PROCESSING!$D$4:$I$15 = $P$2, ROW(PROCESSING!$B$4:$B$15)-ROW(PROCESSING!$B$4)+1 ),  ROWS(PROCESSING!$B$4:$B6)) ),""), "")</f>
        <v/>
      </c>
      <c r="Q6" s="56" t="str">
        <f>IFERROR(VLOOKUP(P6,PROCESSING!$B:$I,9,0), "")</f>
        <v/>
      </c>
      <c r="R6" s="63"/>
      <c r="S6" s="63"/>
      <c r="T6" s="75"/>
      <c r="U6" s="56" t="str">
        <f t="array" ref="U6">IFERROR( IF($U$2 &lt;&gt; "", INDEX(PROCESSING!$B$4:$B$15,  SMALL( IF( PROCESSING!$D$4:$I$15 = $U$2, ROW(PROCESSING!$B$4:$B$15)-ROW(PROCESSING!$B$4)+1 ),  ROWS(PROCESSING!$B$4:$B6)) ),""), "")</f>
        <v/>
      </c>
      <c r="V6" s="56" t="str">
        <f>IFERROR(VLOOKUP(U6,PROCESSING!$B:$I,9,0), "")</f>
        <v/>
      </c>
      <c r="W6" s="63"/>
      <c r="X6" s="63"/>
      <c r="Y6" s="75"/>
      <c r="Z6" s="56" t="str">
        <f t="array" ref="Z6">IFERROR( IF($Z$2 &lt;&gt; "", INDEX(PROCESSING!$B$4:$B$15,  SMALL( IF( PROCESSING!$D$4:$I$15 = $Z$2, ROW(PROCESSING!$B$4:$B$15)-ROW(PROCESSING!$B$4)+1 ),  ROWS(PROCESSING!$B$4:$B6)) ),""), "")</f>
        <v/>
      </c>
      <c r="AA6" s="56" t="str">
        <f>IFERROR(VLOOKUP(Z6,PROCESSING!$B:$I,9,0), "")</f>
        <v/>
      </c>
      <c r="AB6" s="63"/>
      <c r="AC6" s="63"/>
      <c r="AD6" s="64"/>
      <c r="AE6" s="65"/>
      <c r="AF6" s="65"/>
      <c r="AG6" s="65"/>
      <c r="AH6" s="65"/>
      <c r="AI6" s="65"/>
      <c r="AJ6" s="65"/>
      <c r="AK6" s="65"/>
      <c r="AL6" s="65"/>
      <c r="AM6" s="65"/>
      <c r="AN6" s="65"/>
      <c r="AO6" s="65"/>
    </row>
    <row r="7" spans="1:41" s="66" customFormat="1" ht="126" x14ac:dyDescent="0.25">
      <c r="A7" s="56" t="str">
        <f t="array" ref="A7">IFERROR( IF($A$2 &lt;&gt; "", INDEX(PROCESSING!$B$4:$B$15,  SMALL( IF( PROCESSING!$D$4:$I$15 = $F$2, ROW(PROCESSING!$B$4:$B$15)-ROW(PROCESSING!$B$4)+1 ),  ROWS(PROCESSING!$B$4:$B7))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7" s="56" t="str">
        <f>IFERROR(VLOOKUP(A7,PROCESSING!$B:$I,9,0), "")</f>
        <v/>
      </c>
      <c r="C7" s="63"/>
      <c r="D7" s="63"/>
      <c r="E7" s="64"/>
      <c r="F7" s="56" t="str">
        <f>IFERROR( IF($F$2 &lt;&gt; "", INDEX(PROCESSING!$B$4:$B$15,  SMALL( IF( PROCESSING!$D$4:$I$15 = $F$2, ROW(PROCESSING!$B$4:$B$15)-ROW(PROCESSING!$B$4)+1 ),  ROWS(PROCESSING!$B$4:$B7)) ),""), "")</f>
        <v/>
      </c>
      <c r="G7" s="56" t="str">
        <f>IFERROR(VLOOKUP(F7,PROCESSING!$B:$I,9,0), "")</f>
        <v/>
      </c>
      <c r="H7" s="63"/>
      <c r="I7" s="63"/>
      <c r="J7" s="64"/>
      <c r="K7" s="56" t="str">
        <f t="array" ref="K7">IFERROR( IF($K$2 &lt;&gt; "", INDEX(PROCESSING!$B$4:$B$15,  SMALL( IF( PROCESSING!$D$4:$I$13 = $K$2, ROW(PROCESSING!$B$4:$B$15)-ROW(PROCESSING!$B$4)+1 ),  ROWS(PROCESSING!$B$4:$B7)) ),""), "")</f>
        <v/>
      </c>
      <c r="L7" s="56" t="str">
        <f>IFERROR(VLOOKUP(K7,PROCESSING!$B:$I,9,0), "")</f>
        <v/>
      </c>
      <c r="M7" s="63"/>
      <c r="N7" s="63"/>
      <c r="O7" s="64"/>
      <c r="P7" s="56" t="str">
        <f t="array" ref="P7">IFERROR( IF($P$2 &lt;&gt; "", INDEX(PROCESSING!$B$4:$B$15,  SMALL( IF( PROCESSING!$D$4:$I$15 = $P$2, ROW(PROCESSING!$B$4:$B$15)-ROW(PROCESSING!$B$4)+1 ),  ROWS(PROCESSING!$B$4:$B7)) ),""), "")</f>
        <v/>
      </c>
      <c r="Q7" s="56" t="str">
        <f>IFERROR(VLOOKUP(P7,PROCESSING!$B:$I,9,0), "")</f>
        <v/>
      </c>
      <c r="R7" s="63"/>
      <c r="S7" s="63"/>
      <c r="T7" s="64"/>
      <c r="U7" s="56" t="str">
        <f t="array" ref="U7">IFERROR( IF($U$2 &lt;&gt; "", INDEX(PROCESSING!$B$4:$B$15,  SMALL( IF( PROCESSING!$D$4:$I$15 = $U$2, ROW(PROCESSING!$B$4:$B$15)-ROW(PROCESSING!$B$4)+1 ),  ROWS(PROCESSING!$B$4:$B7)) ),""), "")</f>
        <v/>
      </c>
      <c r="V7" s="56" t="str">
        <f>IFERROR(VLOOKUP(U7,PROCESSING!$B:$I,9,0), "")</f>
        <v/>
      </c>
      <c r="W7" s="63"/>
      <c r="X7" s="63"/>
      <c r="Y7" s="64"/>
      <c r="Z7" s="56" t="str">
        <f t="array" ref="Z7">IFERROR( IF($Z$2 &lt;&gt; "", INDEX(PROCESSING!$B$4:$B$15,  SMALL( IF( PROCESSING!$D$4:$I$15 = $Z$2, ROW(PROCESSING!$B$4:$B$15)-ROW(PROCESSING!$B$4)+1 ),  ROWS(PROCESSING!$B$4:$B7)) ),""), "")</f>
        <v/>
      </c>
      <c r="AA7" s="56" t="str">
        <f>IFERROR(VLOOKUP(Z7,PROCESSING!$B:$I,9,0), "")</f>
        <v/>
      </c>
      <c r="AB7" s="63"/>
      <c r="AC7" s="63"/>
      <c r="AD7" s="64"/>
      <c r="AE7" s="65"/>
      <c r="AF7" s="65"/>
      <c r="AG7" s="65"/>
      <c r="AH7" s="65"/>
      <c r="AI7" s="65"/>
      <c r="AJ7" s="65"/>
      <c r="AK7" s="65"/>
      <c r="AL7" s="65"/>
      <c r="AM7" s="65"/>
      <c r="AN7" s="65"/>
      <c r="AO7" s="65"/>
    </row>
    <row r="8" spans="1:41" s="66" customFormat="1" ht="126" x14ac:dyDescent="0.25">
      <c r="A8" s="56" t="str">
        <f t="array" ref="A8">IFERROR( IF($A$2 &lt;&gt; "", INDEX(PROCESSING!$B$4:$B$15,  SMALL( IF( PROCESSING!$D$4:$I$15 = $F$2, ROW(PROCESSING!$B$4:$B$15)-ROW(PROCESSING!$B$4)+1 ),  ROWS(PROCESSING!$B$4:$B8))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8" s="56" t="str">
        <f>IFERROR(VLOOKUP(A8,PROCESSING!$B:$I,9,0), "")</f>
        <v/>
      </c>
      <c r="C8" s="63"/>
      <c r="D8" s="63"/>
      <c r="E8" s="64"/>
      <c r="F8" s="56" t="str">
        <f>IFERROR( IF($F$2 &lt;&gt; "", INDEX(PROCESSING!$B$4:$B$15,  SMALL( IF( PROCESSING!$D$4:$I$15 = $F$2, ROW(PROCESSING!$B$4:$B$15)-ROW(PROCESSING!$B$4)+1 ),  ROWS(PROCESSING!$B$4:$B8)) ),""), "")</f>
        <v/>
      </c>
      <c r="G8" s="56" t="str">
        <f>IFERROR(VLOOKUP(F8,PROCESSING!$B:$I,9,0), "")</f>
        <v/>
      </c>
      <c r="H8" s="63"/>
      <c r="I8" s="63"/>
      <c r="J8" s="64"/>
      <c r="K8" s="56" t="str">
        <f t="array" ref="K8">IFERROR( IF($K$2 &lt;&gt; "", INDEX(PROCESSING!$B$4:$B$15,  SMALL( IF( PROCESSING!$D$4:$I$13 = $K$2, ROW(PROCESSING!$B$4:$B$15)-ROW(PROCESSING!$B$4)+1 ),  ROWS(PROCESSING!$B$4:$B8)) ),""), "")</f>
        <v/>
      </c>
      <c r="L8" s="56" t="str">
        <f>IFERROR(VLOOKUP(K8,PROCESSING!$B:$I,9,0), "")</f>
        <v/>
      </c>
      <c r="M8" s="63"/>
      <c r="N8" s="63"/>
      <c r="O8" s="64"/>
      <c r="P8" s="56" t="str">
        <f t="array" ref="P8">IFERROR( IF($P$2 &lt;&gt; "", INDEX(PROCESSING!$B$4:$B$15,  SMALL( IF( PROCESSING!$D$4:$I$15 = $P$2, ROW(PROCESSING!$B$4:$B$15)-ROW(PROCESSING!$B$4)+1 ),  ROWS(PROCESSING!$B$4:$B8)) ),""), "")</f>
        <v/>
      </c>
      <c r="Q8" s="56" t="str">
        <f>IFERROR(VLOOKUP(P8,PROCESSING!$B:$I,9,0), "")</f>
        <v/>
      </c>
      <c r="R8" s="63"/>
      <c r="S8" s="63"/>
      <c r="T8" s="64"/>
      <c r="U8" s="56" t="str">
        <f t="array" ref="U8">IFERROR( IF($U$2 &lt;&gt; "", INDEX(PROCESSING!$B$4:$B$15,  SMALL( IF( PROCESSING!$D$4:$I$15 = $U$2, ROW(PROCESSING!$B$4:$B$15)-ROW(PROCESSING!$B$4)+1 ),  ROWS(PROCESSING!$B$4:$B8)) ),""), "")</f>
        <v/>
      </c>
      <c r="V8" s="56" t="str">
        <f>IFERROR(VLOOKUP(U8,PROCESSING!$B:$I,9,0), "")</f>
        <v/>
      </c>
      <c r="W8" s="63"/>
      <c r="X8" s="63"/>
      <c r="Y8" s="64"/>
      <c r="Z8" s="56" t="str">
        <f t="array" ref="Z8">IFERROR( IF($Z$2 &lt;&gt; "", INDEX(PROCESSING!$B$4:$B$15,  SMALL( IF( PROCESSING!$D$4:$I$15 = $Z$2, ROW(PROCESSING!$B$4:$B$15)-ROW(PROCESSING!$B$4)+1 ),  ROWS(PROCESSING!$B$4:$B8)) ),""), "")</f>
        <v/>
      </c>
      <c r="AA8" s="56" t="str">
        <f>IFERROR(VLOOKUP(Z8,PROCESSING!$B:$I,9,0), "")</f>
        <v/>
      </c>
      <c r="AB8" s="63"/>
      <c r="AC8" s="63"/>
      <c r="AD8" s="64"/>
      <c r="AE8" s="65"/>
      <c r="AF8" s="65"/>
      <c r="AG8" s="65"/>
      <c r="AH8" s="65"/>
      <c r="AI8" s="65"/>
      <c r="AJ8" s="65"/>
      <c r="AK8" s="65"/>
      <c r="AL8" s="65"/>
      <c r="AM8" s="65"/>
      <c r="AN8" s="65"/>
      <c r="AO8" s="65"/>
    </row>
    <row r="9" spans="1:41" s="66" customFormat="1" ht="126" x14ac:dyDescent="0.25">
      <c r="A9" s="56" t="str">
        <f t="array" ref="A9">IFERROR( IF($A$2 &lt;&gt; "", INDEX(PROCESSING!$B$4:$B$15,  SMALL( IF( PROCESSING!$D$4:$I$15 = $F$2, ROW(PROCESSING!$B$4:$B$15)-ROW(PROCESSING!$B$4)+1 ),  ROWS(PROCESSING!$B$4:$B9)) ),""), "")</f>
        <v>1) If the SFA received processed products only via processors contracted by the State Distributing agency, is the SFA compliant with actively using USDA Foods and processed end products as evidenced by the SFA's inventory level during the review period?  (NOTE: An excessive or unused pounds/inventory at the processor (&gt; 6 months based on average monthly usage).  No is a finding [7 CFR 250.30(n)] (There is no intent for the State agency to calculate a 6 month inventory, rather, to consider if usage is being monitored.)</v>
      </c>
      <c r="B9" s="56" t="str">
        <f>IFERROR(VLOOKUP(A9,PROCESSING!$B:$I,9,0), "")</f>
        <v/>
      </c>
      <c r="C9" s="63"/>
      <c r="D9" s="63"/>
      <c r="E9" s="64"/>
      <c r="F9" s="56" t="str">
        <f>IFERROR( IF($F$2 &lt;&gt; "", INDEX(PROCESSING!$B$4:$B$15,  SMALL( IF( PROCESSING!$D$4:$I$15 = $F$2, ROW(PROCESSING!$B$4:$B$15)-ROW(PROCESSING!$B$4)+1 ),  ROWS(PROCESSING!$B$4:$B9)) ),""), "")</f>
        <v/>
      </c>
      <c r="G9" s="56" t="str">
        <f>IFERROR(VLOOKUP(F9,PROCESSING!$B:$I,9,0), "")</f>
        <v/>
      </c>
      <c r="H9" s="63"/>
      <c r="I9" s="63"/>
      <c r="J9" s="64"/>
      <c r="K9" s="56" t="str">
        <f t="array" ref="K9">IFERROR( IF($K$2 &lt;&gt; "", INDEX(PROCESSING!$B$4:$B$15,  SMALL( IF( PROCESSING!$D$4:$I$13 = $K$2, ROW(PROCESSING!$B$4:$B$15)-ROW(PROCESSING!$B$4)+1 ),  ROWS(PROCESSING!$B$4:$B9)) ),""), "")</f>
        <v/>
      </c>
      <c r="L9" s="56" t="str">
        <f>IFERROR(VLOOKUP(K9,PROCESSING!$B:$I,9,0), "")</f>
        <v/>
      </c>
      <c r="M9" s="63"/>
      <c r="N9" s="63"/>
      <c r="O9" s="64"/>
      <c r="P9" s="56" t="str">
        <f t="array" ref="P9">IFERROR( IF($P$2 &lt;&gt; "", INDEX(PROCESSING!$B$4:$B$15,  SMALL( IF( PROCESSING!$D$4:$I$15 = $P$2, ROW(PROCESSING!$B$4:$B$15)-ROW(PROCESSING!$B$4)+1 ),  ROWS(PROCESSING!$B$4:$B9)) ),""), "")</f>
        <v/>
      </c>
      <c r="Q9" s="56" t="str">
        <f>IFERROR(VLOOKUP(P9,PROCESSING!$B:$I,9,0), "")</f>
        <v/>
      </c>
      <c r="R9" s="63"/>
      <c r="S9" s="63"/>
      <c r="T9" s="64"/>
      <c r="U9" s="56" t="str">
        <f t="array" ref="U9">IFERROR( IF($U$2 &lt;&gt; "", INDEX(PROCESSING!$B$4:$B$15,  SMALL( IF( PROCESSING!$D$4:$I$15 = $U$2, ROW(PROCESSING!$B$4:$B$15)-ROW(PROCESSING!$B$4)+1 ),  ROWS(PROCESSING!$B$4:$B9)) ),""), "")</f>
        <v/>
      </c>
      <c r="V9" s="56" t="str">
        <f>IFERROR(VLOOKUP(U9,PROCESSING!$B:$I,9,0), "")</f>
        <v/>
      </c>
      <c r="W9" s="63"/>
      <c r="X9" s="63"/>
      <c r="Y9" s="64"/>
      <c r="Z9" s="56" t="str">
        <f t="array" ref="Z9">IFERROR( IF($Z$2 &lt;&gt; "", INDEX(PROCESSING!$B$4:$B$15,  SMALL( IF( PROCESSING!$D$4:$I$15 = $Z$2, ROW(PROCESSING!$B$4:$B$15)-ROW(PROCESSING!$B$4)+1 ),  ROWS(PROCESSING!$B$4:$B9)) ),""), "")</f>
        <v/>
      </c>
      <c r="AA9" s="56" t="str">
        <f>IFERROR(VLOOKUP(Z9,PROCESSING!$B:$I,9,0), "")</f>
        <v/>
      </c>
      <c r="AB9" s="63"/>
      <c r="AC9" s="63"/>
      <c r="AD9" s="64"/>
      <c r="AE9" s="65"/>
      <c r="AF9" s="65"/>
      <c r="AG9" s="65"/>
      <c r="AH9" s="65"/>
      <c r="AI9" s="65"/>
      <c r="AJ9" s="65"/>
      <c r="AK9" s="65"/>
      <c r="AL9" s="65"/>
      <c r="AM9" s="65"/>
      <c r="AN9" s="65"/>
      <c r="AO9" s="65"/>
    </row>
    <row r="10" spans="1:41" s="66" customFormat="1" ht="15.75" x14ac:dyDescent="0.25">
      <c r="A10" s="56">
        <f t="array" ref="A10">IFERROR( IF($A$2 &lt;&gt; "", INDEX(PROCESSING!$B$4:$B$15,  SMALL( IF( PROCESSING!$D$4:$I$15 = $F$2, ROW(PROCESSING!$B$4:$B$15)-ROW(PROCESSING!$B$4)+1 ),  ROWS(PROCESSING!$B$4:$B10)) ),""), "")</f>
        <v>0</v>
      </c>
      <c r="B10" s="56" t="str">
        <f>IFERROR(VLOOKUP(A10,PROCESSING!$B:$I,9,0), "")</f>
        <v/>
      </c>
      <c r="C10" s="63"/>
      <c r="D10" s="63"/>
      <c r="E10" s="64"/>
      <c r="F10" s="56" t="str">
        <f>IFERROR( IF($F$2 &lt;&gt; "", INDEX(PROCESSING!$B$4:$B$15,  SMALL( IF( PROCESSING!$D$4:$I$15 = $F$2, ROW(PROCESSING!$B$4:$B$15)-ROW(PROCESSING!$B$4)+1 ),  ROWS(PROCESSING!$B$4:$B10)) ),""), "")</f>
        <v/>
      </c>
      <c r="G10" s="56" t="str">
        <f>IFERROR(VLOOKUP(F10,PROCESSING!$B:$I,9,0), "")</f>
        <v/>
      </c>
      <c r="H10" s="63"/>
      <c r="I10" s="63"/>
      <c r="J10" s="64"/>
      <c r="K10" s="56" t="str">
        <f t="array" ref="K10">IFERROR( IF($K$2 &lt;&gt; "", INDEX(PROCESSING!$B$4:$B$15,  SMALL( IF( PROCESSING!$D$4:$I$13 = $K$2, ROW(PROCESSING!$B$4:$B$15)-ROW(PROCESSING!$B$4)+1 ),  ROWS(PROCESSING!$B$4:$B10)) ),""), "")</f>
        <v/>
      </c>
      <c r="L10" s="56" t="str">
        <f>IFERROR(VLOOKUP(K10,PROCESSING!$B:$I,9,0), "")</f>
        <v/>
      </c>
      <c r="M10" s="63"/>
      <c r="N10" s="63"/>
      <c r="O10" s="64"/>
      <c r="P10" s="56" t="str">
        <f t="array" ref="P10">IFERROR( IF($P$2 &lt;&gt; "", INDEX(PROCESSING!$B$4:$B$15,  SMALL( IF( PROCESSING!$D$4:$I$15 = $P$2, ROW(PROCESSING!$B$4:$B$15)-ROW(PROCESSING!$B$4)+1 ),  ROWS(PROCESSING!$B$4:$B10)) ),""), "")</f>
        <v/>
      </c>
      <c r="Q10" s="56" t="str">
        <f>IFERROR(VLOOKUP(P10,PROCESSING!$B:$I,9,0), "")</f>
        <v/>
      </c>
      <c r="R10" s="63"/>
      <c r="S10" s="63"/>
      <c r="T10" s="64"/>
      <c r="U10" s="56" t="str">
        <f t="array" ref="U10">IFERROR( IF($U$2 &lt;&gt; "", INDEX(PROCESSING!$B$4:$B$15,  SMALL( IF( PROCESSING!$D$4:$I$15 = $U$2, ROW(PROCESSING!$B$4:$B$15)-ROW(PROCESSING!$B$4)+1 ),  ROWS(PROCESSING!$B$4:$B10)) ),""), "")</f>
        <v/>
      </c>
      <c r="V10" s="56" t="str">
        <f>IFERROR(VLOOKUP(U10,PROCESSING!$B:$I,9,0), "")</f>
        <v/>
      </c>
      <c r="W10" s="63"/>
      <c r="X10" s="63"/>
      <c r="Y10" s="64"/>
      <c r="Z10" s="56" t="str">
        <f t="array" ref="Z10">IFERROR( IF($Z$2 &lt;&gt; "", INDEX(PROCESSING!$B$4:$B$15,  SMALL( IF( PROCESSING!$D$4:$I$15 = $Z$2, ROW(PROCESSING!$B$4:$B$15)-ROW(PROCESSING!$B$4)+1 ),  ROWS(PROCESSING!$B$4:$B10)) ),""), "")</f>
        <v/>
      </c>
      <c r="AA10" s="56" t="str">
        <f>IFERROR(VLOOKUP(Z10,PROCESSING!$B:$I,9,0), "")</f>
        <v/>
      </c>
      <c r="AB10" s="63"/>
      <c r="AC10" s="63"/>
      <c r="AD10" s="64"/>
      <c r="AE10" s="65"/>
      <c r="AF10" s="65"/>
      <c r="AG10" s="65"/>
      <c r="AH10" s="65"/>
      <c r="AI10" s="65"/>
      <c r="AJ10" s="65"/>
      <c r="AK10" s="65"/>
      <c r="AL10" s="65"/>
      <c r="AM10" s="65"/>
      <c r="AN10" s="65"/>
      <c r="AO10" s="65"/>
    </row>
    <row r="11" spans="1:41" s="66" customFormat="1" ht="15.75" x14ac:dyDescent="0.25">
      <c r="A11" s="56">
        <f t="array" ref="A11">IFERROR( IF($A$2 &lt;&gt; "", INDEX(PROCESSING!$B$4:$B$15,  SMALL( IF( PROCESSING!$D$4:$I$15 = $F$2, ROW(PROCESSING!$B$4:$B$15)-ROW(PROCESSING!$B$4)+1 ),  ROWS(PROCESSING!$B$4:$B11)) ),""), "")</f>
        <v>0</v>
      </c>
      <c r="B11" s="56" t="str">
        <f>IFERROR(VLOOKUP(A11,PROCESSING!$B:$I,9,0), "")</f>
        <v/>
      </c>
      <c r="C11" s="63"/>
      <c r="D11" s="63"/>
      <c r="E11" s="64"/>
      <c r="F11" s="56" t="str">
        <f>IFERROR( IF($F$2 &lt;&gt; "", INDEX(PROCESSING!$B$4:$B$15,  SMALL( IF( PROCESSING!$D$4:$I$15 = $F$2, ROW(PROCESSING!$B$4:$B$15)-ROW(PROCESSING!$B$4)+1 ),  ROWS(PROCESSING!$B$4:$B11)) ),""), "")</f>
        <v/>
      </c>
      <c r="G11" s="56" t="str">
        <f>IFERROR(VLOOKUP(F11,PROCESSING!$B:$I,9,0), "")</f>
        <v/>
      </c>
      <c r="H11" s="63"/>
      <c r="I11" s="63"/>
      <c r="J11" s="64"/>
      <c r="K11" s="56" t="str">
        <f t="array" ref="K11">IFERROR( IF($K$2 &lt;&gt; "", INDEX(PROCESSING!$B$4:$B$15,  SMALL( IF( PROCESSING!$D$4:$I$13 = $K$2, ROW(PROCESSING!$B$4:$B$15)-ROW(PROCESSING!$B$4)+1 ),  ROWS(PROCESSING!$B$4:$B11)) ),""), "")</f>
        <v/>
      </c>
      <c r="L11" s="56" t="str">
        <f>IFERROR(VLOOKUP(K11,PROCESSING!$B:$I,9,0), "")</f>
        <v/>
      </c>
      <c r="M11" s="63"/>
      <c r="N11" s="63"/>
      <c r="O11" s="64"/>
      <c r="P11" s="56" t="str">
        <f t="array" ref="P11">IFERROR( IF($P$2 &lt;&gt; "", INDEX(PROCESSING!$B$4:$B$15,  SMALL( IF( PROCESSING!$D$4:$I$15 = $P$2, ROW(PROCESSING!$B$4:$B$15)-ROW(PROCESSING!$B$4)+1 ),  ROWS(PROCESSING!$B$4:$B11)) ),""), "")</f>
        <v/>
      </c>
      <c r="Q11" s="56" t="str">
        <f>IFERROR(VLOOKUP(P11,PROCESSING!$B:$I,9,0), "")</f>
        <v/>
      </c>
      <c r="R11" s="63"/>
      <c r="S11" s="63"/>
      <c r="T11" s="64"/>
      <c r="U11" s="56" t="str">
        <f t="array" ref="U11">IFERROR( IF($U$2 &lt;&gt; "", INDEX(PROCESSING!$B$4:$B$15,  SMALL( IF( PROCESSING!$D$4:$I$15 = $U$2, ROW(PROCESSING!$B$4:$B$15)-ROW(PROCESSING!$B$4)+1 ),  ROWS(PROCESSING!$B$4:$B11)) ),""), "")</f>
        <v/>
      </c>
      <c r="V11" s="56" t="str">
        <f>IFERROR(VLOOKUP(U11,PROCESSING!$B:$I,9,0), "")</f>
        <v/>
      </c>
      <c r="W11" s="63"/>
      <c r="X11" s="63"/>
      <c r="Y11" s="64"/>
      <c r="Z11" s="56" t="str">
        <f t="array" ref="Z11">IFERROR( IF($Z$2 &lt;&gt; "", INDEX(PROCESSING!$B$4:$B$15,  SMALL( IF( PROCESSING!$D$4:$I$15 = $Z$2, ROW(PROCESSING!$B$4:$B$15)-ROW(PROCESSING!$B$4)+1 ),  ROWS(PROCESSING!$B$4:$B11)) ),""), "")</f>
        <v/>
      </c>
      <c r="AA11" s="56" t="str">
        <f>IFERROR(VLOOKUP(Z11,PROCESSING!$B:$I,9,0), "")</f>
        <v/>
      </c>
      <c r="AB11" s="63"/>
      <c r="AC11" s="63"/>
      <c r="AD11" s="64"/>
      <c r="AE11" s="65"/>
      <c r="AF11" s="65"/>
      <c r="AG11" s="65"/>
      <c r="AH11" s="65"/>
      <c r="AI11" s="65"/>
      <c r="AJ11" s="65"/>
      <c r="AK11" s="65"/>
      <c r="AL11" s="65"/>
      <c r="AM11" s="65"/>
      <c r="AN11" s="65"/>
      <c r="AO11" s="65"/>
    </row>
    <row r="12" spans="1:41" s="66" customFormat="1" ht="15.75" x14ac:dyDescent="0.25">
      <c r="A12" s="56">
        <f t="array" ref="A12">IFERROR( IF($A$2 &lt;&gt; "", INDEX(PROCESSING!$B$4:$B$15,  SMALL( IF( PROCESSING!$D$4:$I$15 = $F$2, ROW(PROCESSING!$B$4:$B$15)-ROW(PROCESSING!$B$4)+1 ),  ROWS(PROCESSING!$B$4:$B12)) ),""), "")</f>
        <v>0</v>
      </c>
      <c r="B12" s="56" t="str">
        <f>IFERROR(VLOOKUP(A12,PROCESSING!$B:$I,9,0), "")</f>
        <v/>
      </c>
      <c r="C12" s="63"/>
      <c r="D12" s="63"/>
      <c r="E12" s="64"/>
      <c r="F12" s="56" t="str">
        <f>IFERROR( IF($F$2 &lt;&gt; "", INDEX(PROCESSING!$B$4:$B$15,  SMALL( IF( PROCESSING!$D$4:$I$15 = $F$2, ROW(PROCESSING!$B$4:$B$15)-ROW(PROCESSING!$B$4)+1 ),  ROWS(PROCESSING!$B$4:$B12)) ),""), "")</f>
        <v/>
      </c>
      <c r="G12" s="56" t="str">
        <f>IFERROR(VLOOKUP(F12,PROCESSING!$B:$I,9,0), "")</f>
        <v/>
      </c>
      <c r="H12" s="63"/>
      <c r="I12" s="63"/>
      <c r="J12" s="64"/>
      <c r="K12" s="56" t="str">
        <f t="array" ref="K12">IFERROR( IF($K$2 &lt;&gt; "", INDEX(PROCESSING!$B$4:$B$15,  SMALL( IF( PROCESSING!$D$4:$I$13 = $K$2, ROW(PROCESSING!$B$4:$B$15)-ROW(PROCESSING!$B$4)+1 ),  ROWS(PROCESSING!$B$4:$B12)) ),""), "")</f>
        <v/>
      </c>
      <c r="L12" s="56" t="str">
        <f>IFERROR(VLOOKUP(K12,PROCESSING!$B:$I,9,0), "")</f>
        <v/>
      </c>
      <c r="M12" s="63"/>
      <c r="N12" s="63"/>
      <c r="O12" s="64"/>
      <c r="P12" s="56" t="str">
        <f t="array" ref="P12">IFERROR( IF($P$2 &lt;&gt; "", INDEX(PROCESSING!$B$4:$B$15,  SMALL( IF( PROCESSING!$D$4:$I$15 = $P$2, ROW(PROCESSING!$B$4:$B$15)-ROW(PROCESSING!$B$4)+1 ),  ROWS(PROCESSING!$B$4:$B12)) ),""), "")</f>
        <v/>
      </c>
      <c r="Q12" s="56" t="str">
        <f>IFERROR(VLOOKUP(P12,PROCESSING!$B:$I,9,0), "")</f>
        <v/>
      </c>
      <c r="R12" s="63"/>
      <c r="S12" s="63"/>
      <c r="T12" s="64"/>
      <c r="U12" s="56" t="str">
        <f t="array" ref="U12">IFERROR( IF($U$2 &lt;&gt; "", INDEX(PROCESSING!$B$4:$B$15,  SMALL( IF( PROCESSING!$D$4:$I$15 = $U$2, ROW(PROCESSING!$B$4:$B$15)-ROW(PROCESSING!$B$4)+1 ),  ROWS(PROCESSING!$B$4:$B12)) ),""), "")</f>
        <v/>
      </c>
      <c r="V12" s="56" t="str">
        <f>IFERROR(VLOOKUP(U12,PROCESSING!$B:$I,9,0), "")</f>
        <v/>
      </c>
      <c r="W12" s="63"/>
      <c r="X12" s="63"/>
      <c r="Y12" s="64"/>
      <c r="Z12" s="56" t="str">
        <f t="array" ref="Z12">IFERROR( IF($Z$2 &lt;&gt; "", INDEX(PROCESSING!$B$4:$B$15,  SMALL( IF( PROCESSING!$D$4:$I$15 = $Z$2, ROW(PROCESSING!$B$4:$B$15)-ROW(PROCESSING!$B$4)+1 ),  ROWS(PROCESSING!$B$4:$B12)) ),""), "")</f>
        <v/>
      </c>
      <c r="AA12" s="56" t="str">
        <f>IFERROR(VLOOKUP(Z12,PROCESSING!$B:$I,9,0), "")</f>
        <v/>
      </c>
      <c r="AB12" s="63"/>
      <c r="AC12" s="63"/>
      <c r="AD12" s="64"/>
      <c r="AE12" s="65"/>
      <c r="AF12" s="65"/>
      <c r="AG12" s="65"/>
      <c r="AH12" s="65"/>
      <c r="AI12" s="65"/>
      <c r="AJ12" s="65"/>
      <c r="AK12" s="65"/>
      <c r="AL12" s="65"/>
      <c r="AM12" s="65"/>
      <c r="AN12" s="65"/>
      <c r="AO12" s="65"/>
    </row>
    <row r="13" spans="1:41" s="66" customFormat="1" ht="15.75" x14ac:dyDescent="0.25">
      <c r="A13" s="56">
        <f t="array" ref="A13">IFERROR( IF($A$2 &lt;&gt; "", INDEX(PROCESSING!$B$4:$B$15,  SMALL( IF( PROCESSING!$D$4:$I$15 = $F$2, ROW(PROCESSING!$B$4:$B$15)-ROW(PROCESSING!$B$4)+1 ),  ROWS(PROCESSING!$B$4:$B13)) ),""), "")</f>
        <v>0</v>
      </c>
      <c r="B13" s="56" t="str">
        <f>IFERROR(VLOOKUP(A13,PROCESSING!$B:$I,9,0), "")</f>
        <v/>
      </c>
      <c r="C13" s="63"/>
      <c r="D13" s="63"/>
      <c r="E13" s="64"/>
      <c r="F13" s="56" t="str">
        <f>IFERROR( IF($F$2 &lt;&gt; "", INDEX(PROCESSING!$B$4:$B$15,  SMALL( IF( PROCESSING!$D$4:$I$15 = $F$2, ROW(PROCESSING!$B$4:$B$15)-ROW(PROCESSING!$B$4)+1 ),  ROWS(PROCESSING!$B$4:$B13)) ),""), "")</f>
        <v/>
      </c>
      <c r="G13" s="56" t="str">
        <f>IFERROR(VLOOKUP(F13,PROCESSING!$B:$I,9,0), "")</f>
        <v/>
      </c>
      <c r="H13" s="63"/>
      <c r="I13" s="63"/>
      <c r="J13" s="64"/>
      <c r="K13" s="56" t="str">
        <f t="array" ref="K13">IFERROR( IF($K$2 &lt;&gt; "", INDEX(PROCESSING!$B$4:$B$15,  SMALL( IF( PROCESSING!$D$4:$I$13 = $K$2, ROW(PROCESSING!$B$4:$B$15)-ROW(PROCESSING!$B$4)+1 ),  ROWS(PROCESSING!$B$4:$B13)) ),""), "")</f>
        <v/>
      </c>
      <c r="L13" s="56" t="str">
        <f>IFERROR(VLOOKUP(K13,PROCESSING!$B:$I,9,0), "")</f>
        <v/>
      </c>
      <c r="M13" s="63"/>
      <c r="N13" s="63"/>
      <c r="O13" s="64"/>
      <c r="P13" s="56" t="str">
        <f t="array" ref="P13">IFERROR( IF($P$2 &lt;&gt; "", INDEX(PROCESSING!$B$4:$B$15,  SMALL( IF( PROCESSING!$D$4:$I$15 = $P$2, ROW(PROCESSING!$B$4:$B$15)-ROW(PROCESSING!$B$4)+1 ),  ROWS(PROCESSING!$B$4:$B13)) ),""), "")</f>
        <v/>
      </c>
      <c r="Q13" s="56" t="str">
        <f>IFERROR(VLOOKUP(P13,PROCESSING!$B:$I,9,0), "")</f>
        <v/>
      </c>
      <c r="R13" s="63"/>
      <c r="S13" s="63"/>
      <c r="T13" s="64"/>
      <c r="U13" s="56" t="str">
        <f t="array" ref="U13">IFERROR( IF($U$2 &lt;&gt; "", INDEX(PROCESSING!$B$4:$B$15,  SMALL( IF( PROCESSING!$D$4:$I$15 = $U$2, ROW(PROCESSING!$B$4:$B$15)-ROW(PROCESSING!$B$4)+1 ),  ROWS(PROCESSING!$B$4:$B13)) ),""), "")</f>
        <v/>
      </c>
      <c r="V13" s="56" t="str">
        <f>IFERROR(VLOOKUP(U13,PROCESSING!$B:$I,9,0), "")</f>
        <v/>
      </c>
      <c r="W13" s="63"/>
      <c r="X13" s="63"/>
      <c r="Y13" s="64"/>
      <c r="Z13" s="56" t="str">
        <f t="array" ref="Z13">IFERROR( IF($Z$2 &lt;&gt; "", INDEX(PROCESSING!$B$4:$B$15,  SMALL( IF( PROCESSING!$D$4:$I$15 = $Z$2, ROW(PROCESSING!$B$4:$B$15)-ROW(PROCESSING!$B$4)+1 ),  ROWS(PROCESSING!$B$4:$B13)) ),""), "")</f>
        <v/>
      </c>
      <c r="AA13" s="56" t="str">
        <f>IFERROR(VLOOKUP(Z13,PROCESSING!$B:$I,9,0), "")</f>
        <v/>
      </c>
      <c r="AB13" s="63"/>
      <c r="AC13" s="63"/>
      <c r="AD13" s="64"/>
      <c r="AE13" s="65"/>
      <c r="AF13" s="65"/>
      <c r="AG13" s="65"/>
      <c r="AH13" s="65"/>
      <c r="AI13" s="65"/>
      <c r="AJ13" s="65"/>
      <c r="AK13" s="65"/>
      <c r="AL13" s="65"/>
      <c r="AM13" s="65"/>
      <c r="AN13" s="65"/>
      <c r="AO13" s="65"/>
    </row>
    <row r="14" spans="1:41" s="66" customFormat="1" ht="15.75" x14ac:dyDescent="0.25">
      <c r="A14" s="56">
        <f t="array" ref="A14">IFERROR( IF($A$2 &lt;&gt; "", INDEX(PROCESSING!$B$4:$B$15,  SMALL( IF( PROCESSING!$D$4:$I$15 = $F$2, ROW(PROCESSING!$B$4:$B$15)-ROW(PROCESSING!$B$4)+1 ),  ROWS(PROCESSING!$B$4:$B14)) ),""), "")</f>
        <v>0</v>
      </c>
      <c r="B14" s="56" t="str">
        <f>IFERROR(VLOOKUP(A14,PROCESSING!$B:$I,9,0), "")</f>
        <v/>
      </c>
      <c r="C14" s="63"/>
      <c r="D14" s="63"/>
      <c r="E14" s="64"/>
      <c r="F14" s="56" t="str">
        <f>IFERROR( IF($F$2 &lt;&gt; "", INDEX(PROCESSING!$B$4:$B$15,  SMALL( IF( PROCESSING!$D$4:$I$15 = $F$2, ROW(PROCESSING!$B$4:$B$15)-ROW(PROCESSING!$B$4)+1 ),  ROWS(PROCESSING!$B$4:$B14)) ),""), "")</f>
        <v/>
      </c>
      <c r="G14" s="56" t="str">
        <f>IFERROR(VLOOKUP(F14,PROCESSING!$B:$I,9,0), "")</f>
        <v/>
      </c>
      <c r="H14" s="63"/>
      <c r="I14" s="63"/>
      <c r="J14" s="64"/>
      <c r="K14" s="56" t="str">
        <f t="array" ref="K14">IFERROR( IF($K$2 &lt;&gt; "", INDEX(PROCESSING!$B$4:$B$15,  SMALL( IF( PROCESSING!$D$4:$I$13 = $K$2, ROW(PROCESSING!$B$4:$B$15)-ROW(PROCESSING!$B$4)+1 ),  ROWS(PROCESSING!$B$4:$B14)) ),""), "")</f>
        <v/>
      </c>
      <c r="L14" s="56" t="str">
        <f>IFERROR(VLOOKUP(K14,PROCESSING!$B:$I,9,0), "")</f>
        <v/>
      </c>
      <c r="M14" s="63"/>
      <c r="N14" s="63"/>
      <c r="O14" s="64"/>
      <c r="P14" s="56" t="str">
        <f t="array" ref="P14">IFERROR( IF($P$2 &lt;&gt; "", INDEX(PROCESSING!$B$4:$B$15,  SMALL( IF( PROCESSING!$D$4:$I$15 = $P$2, ROW(PROCESSING!$B$4:$B$15)-ROW(PROCESSING!$B$4)+1 ),  ROWS(PROCESSING!$B$4:$B14)) ),""), "")</f>
        <v/>
      </c>
      <c r="Q14" s="56" t="str">
        <f>IFERROR(VLOOKUP(P14,PROCESSING!$B:$I,9,0), "")</f>
        <v/>
      </c>
      <c r="R14" s="63"/>
      <c r="S14" s="63"/>
      <c r="T14" s="64"/>
      <c r="U14" s="56" t="str">
        <f t="array" ref="U14">IFERROR( IF($U$2 &lt;&gt; "", INDEX(PROCESSING!$B$4:$B$15,  SMALL( IF( PROCESSING!$D$4:$I$15 = $U$2, ROW(PROCESSING!$B$4:$B$15)-ROW(PROCESSING!$B$4)+1 ),  ROWS(PROCESSING!$B$4:$B14)) ),""), "")</f>
        <v/>
      </c>
      <c r="V14" s="56" t="str">
        <f>IFERROR(VLOOKUP(U14,PROCESSING!$B:$I,9,0), "")</f>
        <v/>
      </c>
      <c r="W14" s="63"/>
      <c r="X14" s="63"/>
      <c r="Y14" s="64"/>
      <c r="Z14" s="56" t="str">
        <f t="array" ref="Z14">IFERROR( IF($Z$2 &lt;&gt; "", INDEX(PROCESSING!$B$4:$B$15,  SMALL( IF( PROCESSING!$D$4:$I$15 = $Z$2, ROW(PROCESSING!$B$4:$B$15)-ROW(PROCESSING!$B$4)+1 ),  ROWS(PROCESSING!$B$4:$B14)) ),""), "")</f>
        <v/>
      </c>
      <c r="AA14" s="56" t="str">
        <f>IFERROR(VLOOKUP(Z14,PROCESSING!$B:$I,9,0), "")</f>
        <v/>
      </c>
      <c r="AB14" s="63"/>
      <c r="AC14" s="63"/>
      <c r="AD14" s="64"/>
      <c r="AE14" s="65"/>
      <c r="AF14" s="65"/>
      <c r="AG14" s="65"/>
      <c r="AH14" s="65"/>
      <c r="AI14" s="65"/>
      <c r="AJ14" s="65"/>
      <c r="AK14" s="65"/>
      <c r="AL14" s="65"/>
      <c r="AM14" s="65"/>
      <c r="AN14" s="65"/>
      <c r="AO14" s="65"/>
    </row>
    <row r="15" spans="1:41" s="66" customFormat="1" ht="15.75" x14ac:dyDescent="0.25">
      <c r="A15" s="56">
        <f t="array" ref="A15">IFERROR( IF($A$2 &lt;&gt; "", INDEX(PROCESSING!$B$4:$B$15,  SMALL( IF( PROCESSING!$D$4:$I$15 = $F$2, ROW(PROCESSING!$B$4:$B$15)-ROW(PROCESSING!$B$4)+1 ),  ROWS(PROCESSING!$B$4:$B15)) ),""), "")</f>
        <v>0</v>
      </c>
      <c r="B15" s="56" t="str">
        <f>IFERROR(VLOOKUP(A15,PROCESSING!$B:$I,9,0), "")</f>
        <v/>
      </c>
      <c r="C15" s="63"/>
      <c r="D15" s="63"/>
      <c r="E15" s="64"/>
      <c r="F15" s="56" t="str">
        <f>IFERROR( IF($F$2 &lt;&gt; "", INDEX(PROCESSING!$B$4:$B$15,  SMALL( IF( PROCESSING!$D$4:$I$15 = $F$2, ROW(PROCESSING!$B$4:$B$15)-ROW(PROCESSING!$B$4)+1 ),  ROWS(PROCESSING!$B$4:$B15)) ),""), "")</f>
        <v/>
      </c>
      <c r="G15" s="56" t="str">
        <f>IFERROR(VLOOKUP(F15,PROCESSING!$B:$I,9,0), "")</f>
        <v/>
      </c>
      <c r="H15" s="63"/>
      <c r="I15" s="63"/>
      <c r="J15" s="64"/>
      <c r="K15" s="56" t="str">
        <f t="array" ref="K15">IFERROR( IF($K$2 &lt;&gt; "", INDEX(PROCESSING!$B$4:$B$15,  SMALL( IF( PROCESSING!$D$4:$I$13 = $K$2, ROW(PROCESSING!$B$4:$B$15)-ROW(PROCESSING!$B$4)+1 ),  ROWS(PROCESSING!$B$4:$B15)) ),""), "")</f>
        <v/>
      </c>
      <c r="L15" s="56" t="str">
        <f>IFERROR(VLOOKUP(K15,PROCESSING!$B:$I,9,0), "")</f>
        <v/>
      </c>
      <c r="M15" s="63"/>
      <c r="N15" s="63"/>
      <c r="O15" s="64"/>
      <c r="P15" s="56" t="str">
        <f t="array" ref="P15">IFERROR( IF($P$2 &lt;&gt; "", INDEX(PROCESSING!$B$4:$B$15,  SMALL( IF( PROCESSING!$D$4:$I$15 = $P$2, ROW(PROCESSING!$B$4:$B$15)-ROW(PROCESSING!$B$4)+1 ),  ROWS(PROCESSING!$B$4:$B15)) ),""), "")</f>
        <v/>
      </c>
      <c r="Q15" s="56" t="str">
        <f>IFERROR(VLOOKUP(P15,PROCESSING!$B:$I,9,0), "")</f>
        <v/>
      </c>
      <c r="R15" s="63"/>
      <c r="S15" s="63"/>
      <c r="T15" s="64"/>
      <c r="U15" s="56" t="str">
        <f t="array" ref="U15">IFERROR( IF($U$2 &lt;&gt; "", INDEX(PROCESSING!$B$4:$B$15,  SMALL( IF( PROCESSING!$D$4:$I$15 = $U$2, ROW(PROCESSING!$B$4:$B$15)-ROW(PROCESSING!$B$4)+1 ),  ROWS(PROCESSING!$B$4:$B15)) ),""), "")</f>
        <v/>
      </c>
      <c r="V15" s="56" t="str">
        <f>IFERROR(VLOOKUP(U15,PROCESSING!$B:$I,9,0), "")</f>
        <v/>
      </c>
      <c r="W15" s="63"/>
      <c r="X15" s="63"/>
      <c r="Y15" s="64"/>
      <c r="Z15" s="56" t="str">
        <f t="array" ref="Z15">IFERROR( IF($Z$2 &lt;&gt; "", INDEX(PROCESSING!$B$4:$B$15,  SMALL( IF( PROCESSING!$D$4:$I$15 = $Z$2, ROW(PROCESSING!$B$4:$B$15)-ROW(PROCESSING!$B$4)+1 ),  ROWS(PROCESSING!$B$4:$B15)) ),""), "")</f>
        <v/>
      </c>
      <c r="AA15" s="56" t="str">
        <f>IFERROR(VLOOKUP(Z15,PROCESSING!$B:$I,9,0), "")</f>
        <v/>
      </c>
      <c r="AB15" s="63"/>
      <c r="AC15" s="63"/>
      <c r="AD15" s="64"/>
      <c r="AE15" s="65"/>
      <c r="AF15" s="65"/>
      <c r="AG15" s="65"/>
      <c r="AH15" s="65"/>
      <c r="AI15" s="65"/>
      <c r="AJ15" s="65"/>
      <c r="AK15" s="65"/>
      <c r="AL15" s="65"/>
      <c r="AM15" s="65"/>
      <c r="AN15" s="65"/>
      <c r="AO15" s="65"/>
    </row>
    <row r="16" spans="1:41" s="66" customFormat="1" ht="63" x14ac:dyDescent="0.25">
      <c r="A16" s="56" t="str">
        <f t="array" ref="A16">IFERROR( IF($A$2 &lt;&gt; "", INDEX(PROCESSING!$B$4:$B$15,  SMALL( IF( PROCESSING!$D$4:$I$15 = $F$2, ROW(PROCESSING!$B$4:$B$15)-ROW(PROCESSING!$B$4)+1 ),  ROWS(PROCESSING!$B$4:$B16)) ),""), "")</f>
        <v xml:space="preserve"> 2) Is the SFA compliant with soliciting for and receiving SDA approved USDA Foods processed end products and only the approved value pass-through (VPT) methods? (NOTE:  VPT= rebate, net-off invoice, fee for service, etc.  No is a finding) [7 CFR 250.2])</v>
      </c>
      <c r="B16" s="56" t="str">
        <f>IFERROR(VLOOKUP(A16,PROCESSING!$B:$I,9,0), "")</f>
        <v/>
      </c>
      <c r="C16" s="63"/>
      <c r="D16" s="63"/>
      <c r="E16" s="64"/>
      <c r="F16" s="56" t="str">
        <f>IFERROR( IF($F$2 &lt;&gt; "", INDEX(PROCESSING!$B$4:$B$15,  SMALL( IF( PROCESSING!$D$4:$I$15 = $F$2, ROW(PROCESSING!$B$4:$B$15)-ROW(PROCESSING!$B$4)+1 ),  ROWS(PROCESSING!$B$4:$B16)) ),""), "")</f>
        <v/>
      </c>
      <c r="G16" s="56" t="str">
        <f>IFERROR(VLOOKUP(F16,PROCESSING!$B:$I,9,0), "")</f>
        <v/>
      </c>
      <c r="H16" s="63"/>
      <c r="I16" s="63"/>
      <c r="J16" s="64"/>
      <c r="K16" s="56" t="str">
        <f t="array" ref="K16">IFERROR( IF($K$2 &lt;&gt; "", INDEX(PROCESSING!$B$4:$B$15,  SMALL( IF( PROCESSING!$D$4:$I$13 = $K$2, ROW(PROCESSING!$B$4:$B$15)-ROW(PROCESSING!$B$4)+1 ),  ROWS(PROCESSING!$B$4:$B16)) ),""), "")</f>
        <v/>
      </c>
      <c r="L16" s="56" t="str">
        <f>IFERROR(VLOOKUP(K16,PROCESSING!$B:$I,9,0), "")</f>
        <v/>
      </c>
      <c r="M16" s="63"/>
      <c r="N16" s="63"/>
      <c r="O16" s="64"/>
      <c r="P16" s="56" t="str">
        <f t="array" ref="P16">IFERROR( IF($P$2 &lt;&gt; "", INDEX(PROCESSING!$B$4:$B$15,  SMALL( IF( PROCESSING!$D$4:$I$15 = $P$2, ROW(PROCESSING!$B$4:$B$15)-ROW(PROCESSING!$B$4)+1 ),  ROWS(PROCESSING!$B$4:$B16)) ),""), "")</f>
        <v/>
      </c>
      <c r="Q16" s="56" t="str">
        <f>IFERROR(VLOOKUP(P16,PROCESSING!$B:$I,9,0), "")</f>
        <v/>
      </c>
      <c r="R16" s="63"/>
      <c r="S16" s="63"/>
      <c r="T16" s="64"/>
      <c r="U16" s="56" t="str">
        <f t="array" ref="U16">IFERROR( IF($U$2 &lt;&gt; "", INDEX(PROCESSING!$B$4:$B$15,  SMALL( IF( PROCESSING!$D$4:$I$15 = $U$2, ROW(PROCESSING!$B$4:$B$15)-ROW(PROCESSING!$B$4)+1 ),  ROWS(PROCESSING!$B$4:$B16)) ),""), "")</f>
        <v/>
      </c>
      <c r="V16" s="56" t="str">
        <f>IFERROR(VLOOKUP(U16,PROCESSING!$B:$I,9,0), "")</f>
        <v/>
      </c>
      <c r="W16" s="63"/>
      <c r="X16" s="63"/>
      <c r="Y16" s="64"/>
      <c r="Z16" s="56" t="str">
        <f t="array" ref="Z16">IFERROR( IF($Z$2 &lt;&gt; "", INDEX(PROCESSING!$B$4:$B$15,  SMALL( IF( PROCESSING!$D$4:$I$15 = $Z$2, ROW(PROCESSING!$B$4:$B$15)-ROW(PROCESSING!$B$4)+1 ),  ROWS(PROCESSING!$B$4:$B16)) ),""), "")</f>
        <v/>
      </c>
      <c r="AA16" s="56" t="str">
        <f>IFERROR(VLOOKUP(Z16,PROCESSING!$B:$I,9,0), "")</f>
        <v/>
      </c>
      <c r="AB16" s="63"/>
      <c r="AC16" s="63"/>
      <c r="AD16" s="64"/>
      <c r="AE16" s="65"/>
      <c r="AF16" s="65"/>
      <c r="AG16" s="65"/>
      <c r="AH16" s="65"/>
      <c r="AI16" s="65"/>
      <c r="AJ16" s="65"/>
      <c r="AK16" s="65"/>
      <c r="AL16" s="65"/>
      <c r="AM16" s="65"/>
      <c r="AN16" s="65"/>
      <c r="AO16" s="65"/>
    </row>
    <row r="17" spans="1:41" s="66" customFormat="1" ht="63" x14ac:dyDescent="0.25">
      <c r="A17" s="56" t="str">
        <f t="array" ref="A17">IFERROR( IF($A$2 &lt;&gt; "", INDEX(PROCESSING!$B$4:$B$15,  SMALL( IF( PROCESSING!$D$4:$I$15 = $F$2, ROW(PROCESSING!$B$4:$B$15)-ROW(PROCESSING!$B$4)+1 ),  ROWS(PROCESSING!$B$4:$B17)) ),""), "")</f>
        <v xml:space="preserve"> 2) Is the SFA compliant with soliciting for and receiving SDA approved USDA Foods processed end products and only the approved value pass-through (VPT) methods? (NOTE:  VPT= rebate, net-off invoice, fee for service, etc.  No is a finding) [7 CFR 250.2])</v>
      </c>
      <c r="B17" s="56" t="str">
        <f>IFERROR(VLOOKUP(A17,PROCESSING!$B:$I,9,0), "")</f>
        <v/>
      </c>
      <c r="C17" s="63"/>
      <c r="D17" s="63"/>
      <c r="E17" s="64"/>
      <c r="F17" s="56" t="str">
        <f>IFERROR( IF($F$2 &lt;&gt; "", INDEX(PROCESSING!$B$4:$B$15,  SMALL( IF( PROCESSING!$D$4:$I$15 = $F$2, ROW(PROCESSING!$B$4:$B$15)-ROW(PROCESSING!$B$4)+1 ),  ROWS(PROCESSING!$B$4:$B17)) ),""), "")</f>
        <v/>
      </c>
      <c r="G17" s="56" t="str">
        <f>IFERROR(VLOOKUP(F17,PROCESSING!$B:$I,9,0), "")</f>
        <v/>
      </c>
      <c r="H17" s="63"/>
      <c r="I17" s="63"/>
      <c r="J17" s="64"/>
      <c r="K17" s="56" t="str">
        <f t="array" ref="K17">IFERROR( IF($K$2 &lt;&gt; "", INDEX(PROCESSING!$B$4:$B$15,  SMALL( IF( PROCESSING!$D$4:$I$13 = $K$2, ROW(PROCESSING!$B$4:$B$15)-ROW(PROCESSING!$B$4)+1 ),  ROWS(PROCESSING!$B$4:$B17)) ),""), "")</f>
        <v/>
      </c>
      <c r="L17" s="56" t="str">
        <f>IFERROR(VLOOKUP(K17,PROCESSING!$B:$I,9,0), "")</f>
        <v/>
      </c>
      <c r="M17" s="63"/>
      <c r="N17" s="63"/>
      <c r="O17" s="64"/>
      <c r="P17" s="56" t="str">
        <f t="array" ref="P17">IFERROR( IF($P$2 &lt;&gt; "", INDEX(PROCESSING!$B$4:$B$15,  SMALL( IF( PROCESSING!$D$4:$I$15 = $P$2, ROW(PROCESSING!$B$4:$B$15)-ROW(PROCESSING!$B$4)+1 ),  ROWS(PROCESSING!$B$4:$B17)) ),""), "")</f>
        <v/>
      </c>
      <c r="Q17" s="56" t="str">
        <f>IFERROR(VLOOKUP(P17,PROCESSING!$B:$I,9,0), "")</f>
        <v/>
      </c>
      <c r="R17" s="63"/>
      <c r="S17" s="63"/>
      <c r="T17" s="64"/>
      <c r="U17" s="56" t="str">
        <f t="array" ref="U17">IFERROR( IF($U$2 &lt;&gt; "", INDEX(PROCESSING!$B$4:$B$15,  SMALL( IF( PROCESSING!$D$4:$I$15 = $U$2, ROW(PROCESSING!$B$4:$B$15)-ROW(PROCESSING!$B$4)+1 ),  ROWS(PROCESSING!$B$4:$B17)) ),""), "")</f>
        <v/>
      </c>
      <c r="V17" s="56" t="str">
        <f>IFERROR(VLOOKUP(U17,PROCESSING!$B:$I,9,0), "")</f>
        <v/>
      </c>
      <c r="W17" s="63"/>
      <c r="X17" s="63"/>
      <c r="Y17" s="64"/>
      <c r="Z17" s="56" t="str">
        <f t="array" ref="Z17">IFERROR( IF($Z$2 &lt;&gt; "", INDEX(PROCESSING!$B$4:$B$15,  SMALL( IF( PROCESSING!$D$4:$I$15 = $Z$2, ROW(PROCESSING!$B$4:$B$15)-ROW(PROCESSING!$B$4)+1 ),  ROWS(PROCESSING!$B$4:$B17)) ),""), "")</f>
        <v/>
      </c>
      <c r="AA17" s="56" t="str">
        <f>IFERROR(VLOOKUP(Z17,PROCESSING!$B:$I,9,0), "")</f>
        <v/>
      </c>
      <c r="AB17" s="63"/>
      <c r="AC17" s="63"/>
      <c r="AD17" s="64"/>
      <c r="AE17" s="65"/>
      <c r="AF17" s="65"/>
      <c r="AG17" s="65"/>
      <c r="AH17" s="65"/>
      <c r="AI17" s="65"/>
      <c r="AJ17" s="65"/>
      <c r="AK17" s="65"/>
      <c r="AL17" s="65"/>
      <c r="AM17" s="65"/>
      <c r="AN17" s="65"/>
      <c r="AO17" s="65"/>
    </row>
    <row r="18" spans="1:41" s="66" customFormat="1" ht="63" x14ac:dyDescent="0.25">
      <c r="A18" s="56" t="str">
        <f t="array" ref="A18">IFERROR( IF($A$2 &lt;&gt; "", INDEX(PROCESSING!$B$4:$B$15,  SMALL( IF( PROCESSING!$D$4:$I$15 = $F$2, ROW(PROCESSING!$B$4:$B$15)-ROW(PROCESSING!$B$4)+1 ),  ROWS(PROCESSING!$B$4:$B18)) ),""), "")</f>
        <v xml:space="preserve"> 2) Is the SFA compliant with soliciting for and receiving SDA approved USDA Foods processed end products and only the approved value pass-through (VPT) methods? (NOTE:  VPT= rebate, net-off invoice, fee for service, etc.  No is a finding) [7 CFR 250.2])</v>
      </c>
      <c r="B18" s="56" t="str">
        <f>IFERROR(VLOOKUP(A18,PROCESSING!$B:$I,9,0), "")</f>
        <v/>
      </c>
      <c r="C18" s="63"/>
      <c r="D18" s="63"/>
      <c r="E18" s="64"/>
      <c r="F18" s="56" t="str">
        <f>IFERROR( IF($F$2 &lt;&gt; "", INDEX(PROCESSING!$B$4:$B$15,  SMALL( IF( PROCESSING!$D$4:$I$15 = $F$2, ROW(PROCESSING!$B$4:$B$15)-ROW(PROCESSING!$B$4)+1 ),  ROWS(PROCESSING!$B$4:$B18)) ),""), "")</f>
        <v/>
      </c>
      <c r="G18" s="56" t="str">
        <f>IFERROR(VLOOKUP(F18,PROCESSING!$B:$I,9,0), "")</f>
        <v/>
      </c>
      <c r="H18" s="63"/>
      <c r="I18" s="63"/>
      <c r="J18" s="64"/>
      <c r="K18" s="56" t="str">
        <f t="array" ref="K18">IFERROR( IF($K$2 &lt;&gt; "", INDEX(PROCESSING!$B$4:$B$15,  SMALL( IF( PROCESSING!$D$4:$I$13 = $K$2, ROW(PROCESSING!$B$4:$B$15)-ROW(PROCESSING!$B$4)+1 ),  ROWS(PROCESSING!$B$4:$B18)) ),""), "")</f>
        <v/>
      </c>
      <c r="L18" s="56" t="str">
        <f>IFERROR(VLOOKUP(K18,PROCESSING!$B:$I,9,0), "")</f>
        <v/>
      </c>
      <c r="M18" s="63"/>
      <c r="N18" s="63"/>
      <c r="O18" s="64"/>
      <c r="P18" s="56" t="str">
        <f t="array" ref="P18">IFERROR( IF($P$2 &lt;&gt; "", INDEX(PROCESSING!$B$4:$B$15,  SMALL( IF( PROCESSING!$D$4:$I$15 = $P$2, ROW(PROCESSING!$B$4:$B$15)-ROW(PROCESSING!$B$4)+1 ),  ROWS(PROCESSING!$B$4:$B18)) ),""), "")</f>
        <v/>
      </c>
      <c r="Q18" s="56" t="str">
        <f>IFERROR(VLOOKUP(P18,PROCESSING!$B:$I,9,0), "")</f>
        <v/>
      </c>
      <c r="R18" s="63"/>
      <c r="S18" s="63"/>
      <c r="T18" s="64"/>
      <c r="U18" s="56" t="str">
        <f t="array" ref="U18">IFERROR( IF($U$2 &lt;&gt; "", INDEX(PROCESSING!$B$4:$B$15,  SMALL( IF( PROCESSING!$D$4:$I$15 = $U$2, ROW(PROCESSING!$B$4:$B$15)-ROW(PROCESSING!$B$4)+1 ),  ROWS(PROCESSING!$B$4:$B18)) ),""), "")</f>
        <v/>
      </c>
      <c r="V18" s="56" t="str">
        <f>IFERROR(VLOOKUP(U18,PROCESSING!$B:$I,9,0), "")</f>
        <v/>
      </c>
      <c r="W18" s="63"/>
      <c r="X18" s="63"/>
      <c r="Y18" s="64"/>
      <c r="Z18" s="56" t="str">
        <f t="array" ref="Z18">IFERROR( IF($Z$2 &lt;&gt; "", INDEX(PROCESSING!$B$4:$B$15,  SMALL( IF( PROCESSING!$D$4:$I$15 = $Z$2, ROW(PROCESSING!$B$4:$B$15)-ROW(PROCESSING!$B$4)+1 ),  ROWS(PROCESSING!$B$4:$B18)) ),""), "")</f>
        <v/>
      </c>
      <c r="AA18" s="56" t="str">
        <f>IFERROR(VLOOKUP(Z18,PROCESSING!$B:$I,9,0), "")</f>
        <v/>
      </c>
      <c r="AB18" s="63"/>
      <c r="AC18" s="63"/>
      <c r="AD18" s="64"/>
      <c r="AE18" s="65"/>
      <c r="AF18" s="65"/>
      <c r="AG18" s="65"/>
      <c r="AH18" s="65"/>
      <c r="AI18" s="65"/>
      <c r="AJ18" s="65"/>
      <c r="AK18" s="65"/>
      <c r="AL18" s="65"/>
      <c r="AM18" s="65"/>
      <c r="AN18" s="65"/>
      <c r="AO18" s="65"/>
    </row>
    <row r="19" spans="1:41" s="66" customFormat="1" ht="63" x14ac:dyDescent="0.25">
      <c r="A19" s="56" t="str">
        <f t="array" ref="A19">IFERROR( IF($A$2 &lt;&gt; "", INDEX(PROCESSING!$B$4:$B$15,  SMALL( IF( PROCESSING!$D$4:$I$15 = $F$2, ROW(PROCESSING!$B$4:$B$15)-ROW(PROCESSING!$B$4)+1 ),  ROWS(PROCESSING!$B$4:$B19)) ),""), "")</f>
        <v xml:space="preserve"> 2) Is the SFA compliant with soliciting for and receiving SDA approved USDA Foods processed end products and only the approved value pass-through (VPT) methods? (NOTE:  VPT= rebate, net-off invoice, fee for service, etc.  No is a finding) [7 CFR 250.2])</v>
      </c>
      <c r="B19" s="56" t="str">
        <f>IFERROR(VLOOKUP(A19,PROCESSING!$B:$I,9,0), "")</f>
        <v/>
      </c>
      <c r="C19" s="63"/>
      <c r="D19" s="63"/>
      <c r="E19" s="64"/>
      <c r="F19" s="56" t="str">
        <f>IFERROR( IF($F$2 &lt;&gt; "", INDEX(PROCESSING!$B$4:$B$15,  SMALL( IF( PROCESSING!$D$4:$I$15 = $F$2, ROW(PROCESSING!$B$4:$B$15)-ROW(PROCESSING!$B$4)+1 ),  ROWS(PROCESSING!$B$4:$B19)) ),""), "")</f>
        <v/>
      </c>
      <c r="G19" s="56" t="str">
        <f>IFERROR(VLOOKUP(F19,PROCESSING!$B:$I,9,0), "")</f>
        <v/>
      </c>
      <c r="H19" s="63"/>
      <c r="I19" s="63"/>
      <c r="J19" s="64"/>
      <c r="K19" s="56" t="str">
        <f t="array" ref="K19">IFERROR( IF($K$2 &lt;&gt; "", INDEX(PROCESSING!$B$4:$B$15,  SMALL( IF( PROCESSING!$D$4:$I$13 = $K$2, ROW(PROCESSING!$B$4:$B$15)-ROW(PROCESSING!$B$4)+1 ),  ROWS(PROCESSING!$B$4:$B19)) ),""), "")</f>
        <v/>
      </c>
      <c r="L19" s="56" t="str">
        <f>IFERROR(VLOOKUP(K19,PROCESSING!$B:$I,9,0), "")</f>
        <v/>
      </c>
      <c r="M19" s="63"/>
      <c r="N19" s="63"/>
      <c r="O19" s="64"/>
      <c r="P19" s="56" t="str">
        <f t="array" ref="P19">IFERROR( IF($P$2 &lt;&gt; "", INDEX(PROCESSING!$B$4:$B$15,  SMALL( IF( PROCESSING!$D$4:$I$15 = $P$2, ROW(PROCESSING!$B$4:$B$15)-ROW(PROCESSING!$B$4)+1 ),  ROWS(PROCESSING!$B$4:$B19)) ),""), "")</f>
        <v/>
      </c>
      <c r="Q19" s="56" t="str">
        <f>IFERROR(VLOOKUP(P19,PROCESSING!$B:$I,9,0), "")</f>
        <v/>
      </c>
      <c r="R19" s="63"/>
      <c r="S19" s="63"/>
      <c r="T19" s="64"/>
      <c r="U19" s="56" t="str">
        <f t="array" ref="U19">IFERROR( IF($U$2 &lt;&gt; "", INDEX(PROCESSING!$B$4:$B$15,  SMALL( IF( PROCESSING!$D$4:$I$15 = $U$2, ROW(PROCESSING!$B$4:$B$15)-ROW(PROCESSING!$B$4)+1 ),  ROWS(PROCESSING!$B$4:$B19)) ),""), "")</f>
        <v/>
      </c>
      <c r="V19" s="56" t="str">
        <f>IFERROR(VLOOKUP(U19,PROCESSING!$B:$I,9,0), "")</f>
        <v/>
      </c>
      <c r="W19" s="63"/>
      <c r="X19" s="63"/>
      <c r="Y19" s="64"/>
      <c r="Z19" s="56" t="str">
        <f t="array" ref="Z19">IFERROR( IF($Z$2 &lt;&gt; "", INDEX(PROCESSING!$B$4:$B$15,  SMALL( IF( PROCESSING!$D$4:$I$15 = $Z$2, ROW(PROCESSING!$B$4:$B$15)-ROW(PROCESSING!$B$4)+1 ),  ROWS(PROCESSING!$B$4:$B19)) ),""), "")</f>
        <v/>
      </c>
      <c r="AA19" s="56" t="str">
        <f>IFERROR(VLOOKUP(Z19,PROCESSING!$B:$I,9,0), "")</f>
        <v/>
      </c>
      <c r="AB19" s="63"/>
      <c r="AC19" s="63"/>
      <c r="AD19" s="64"/>
      <c r="AE19" s="65"/>
      <c r="AF19" s="65"/>
      <c r="AG19" s="65"/>
      <c r="AH19" s="65"/>
      <c r="AI19" s="65"/>
      <c r="AJ19" s="65"/>
      <c r="AK19" s="65"/>
      <c r="AL19" s="65"/>
      <c r="AM19" s="65"/>
      <c r="AN19" s="65"/>
      <c r="AO19" s="65"/>
    </row>
    <row r="20" spans="1:41" s="66" customFormat="1" ht="63" x14ac:dyDescent="0.25">
      <c r="A20" s="56" t="str">
        <f t="array" ref="A20">IFERROR( IF($A$2 &lt;&gt; "", INDEX(PROCESSING!$B$4:$B$15,  SMALL( IF( PROCESSING!$D$4:$I$15 = $F$2, ROW(PROCESSING!$B$4:$B$15)-ROW(PROCESSING!$B$4)+1 ),  ROWS(PROCESSING!$B$4:$B20)) ),""), "")</f>
        <v xml:space="preserve"> 2) Is the SFA compliant with soliciting for and receiving SDA approved USDA Foods processed end products and only the approved value pass-through (VPT) methods? (NOTE:  VPT= rebate, net-off invoice, fee for service, etc.  No is a finding) [7 CFR 250.2])</v>
      </c>
      <c r="B20" s="56" t="str">
        <f>IFERROR(VLOOKUP(A20,PROCESSING!$B:$I,9,0), "")</f>
        <v/>
      </c>
      <c r="C20" s="63"/>
      <c r="D20" s="63"/>
      <c r="E20" s="64"/>
      <c r="F20" s="56" t="str">
        <f>IFERROR( IF($F$2 &lt;&gt; "", INDEX(PROCESSING!$B$4:$B$15,  SMALL( IF( PROCESSING!$D$4:$I$15 = $F$2, ROW(PROCESSING!$B$4:$B$15)-ROW(PROCESSING!$B$4)+1 ),  ROWS(PROCESSING!$B$4:$B20)) ),""), "")</f>
        <v/>
      </c>
      <c r="G20" s="56" t="str">
        <f>IFERROR(VLOOKUP(F20,PROCESSING!$B:$I,9,0), "")</f>
        <v/>
      </c>
      <c r="H20" s="63"/>
      <c r="I20" s="63"/>
      <c r="J20" s="64"/>
      <c r="K20" s="56" t="str">
        <f t="array" ref="K20">IFERROR( IF($K$2 &lt;&gt; "", INDEX(PROCESSING!$B$4:$B$15,  SMALL( IF( PROCESSING!$D$4:$I$13 = $K$2, ROW(PROCESSING!$B$4:$B$15)-ROW(PROCESSING!$B$4)+1 ),  ROWS(PROCESSING!$B$4:$B20)) ),""), "")</f>
        <v/>
      </c>
      <c r="L20" s="56" t="str">
        <f>IFERROR(VLOOKUP(K20,PROCESSING!$B:$I,9,0), "")</f>
        <v/>
      </c>
      <c r="M20" s="63"/>
      <c r="N20" s="63"/>
      <c r="O20" s="64"/>
      <c r="P20" s="56" t="str">
        <f t="array" ref="P20">IFERROR( IF($P$2 &lt;&gt; "", INDEX(PROCESSING!$B$4:$B$15,  SMALL( IF( PROCESSING!$D$4:$I$15 = $P$2, ROW(PROCESSING!$B$4:$B$15)-ROW(PROCESSING!$B$4)+1 ),  ROWS(PROCESSING!$B$4:$B20)) ),""), "")</f>
        <v/>
      </c>
      <c r="Q20" s="56" t="str">
        <f>IFERROR(VLOOKUP(P20,PROCESSING!$B:$I,9,0), "")</f>
        <v/>
      </c>
      <c r="R20" s="63"/>
      <c r="S20" s="63"/>
      <c r="T20" s="64"/>
      <c r="U20" s="56" t="str">
        <f t="array" ref="U20">IFERROR( IF($U$2 &lt;&gt; "", INDEX(PROCESSING!$B$4:$B$15,  SMALL( IF( PROCESSING!$D$4:$I$15 = $U$2, ROW(PROCESSING!$B$4:$B$15)-ROW(PROCESSING!$B$4)+1 ),  ROWS(PROCESSING!$B$4:$B20)) ),""), "")</f>
        <v/>
      </c>
      <c r="V20" s="56" t="str">
        <f>IFERROR(VLOOKUP(U20,PROCESSING!$B:$I,9,0), "")</f>
        <v/>
      </c>
      <c r="W20" s="63"/>
      <c r="X20" s="63"/>
      <c r="Y20" s="64"/>
      <c r="Z20" s="56" t="str">
        <f t="array" ref="Z20">IFERROR( IF($Z$2 &lt;&gt; "", INDEX(PROCESSING!$B$4:$B$15,  SMALL( IF( PROCESSING!$D$4:$I$15 = $Z$2, ROW(PROCESSING!$B$4:$B$15)-ROW(PROCESSING!$B$4)+1 ),  ROWS(PROCESSING!$B$4:$B20)) ),""), "")</f>
        <v/>
      </c>
      <c r="AA20" s="56" t="str">
        <f>IFERROR(VLOOKUP(Z20,PROCESSING!$B:$I,9,0), "")</f>
        <v/>
      </c>
      <c r="AB20" s="63"/>
      <c r="AC20" s="63"/>
      <c r="AD20" s="64"/>
      <c r="AE20" s="65"/>
      <c r="AF20" s="65"/>
      <c r="AG20" s="65"/>
      <c r="AH20" s="65"/>
      <c r="AI20" s="65"/>
      <c r="AJ20" s="65"/>
      <c r="AK20" s="65"/>
      <c r="AL20" s="65"/>
      <c r="AM20" s="65"/>
      <c r="AN20" s="65"/>
      <c r="AO20" s="65"/>
    </row>
    <row r="21" spans="1:41" s="66" customFormat="1" ht="63" x14ac:dyDescent="0.25">
      <c r="A21" s="56" t="str">
        <f t="array" ref="A21">IFERROR( IF($A$2 &lt;&gt; "", INDEX(PROCESSING!$B$4:$B$15,  SMALL( IF( PROCESSING!$D$4:$I$15 = $F$2, ROW(PROCESSING!$B$4:$B$15)-ROW(PROCESSING!$B$4)+1 ),  ROWS(PROCESSING!$B$4:$B21)) ),""), "")</f>
        <v xml:space="preserve"> 2) Is the SFA compliant with soliciting for and receiving SDA approved USDA Foods processed end products and only the approved value pass-through (VPT) methods? (NOTE:  VPT= rebate, net-off invoice, fee for service, etc.  No is a finding) [7 CFR 250.2])</v>
      </c>
      <c r="B21" s="56" t="str">
        <f>IFERROR(VLOOKUP(A21,PROCESSING!$B:$I,9,0), "")</f>
        <v/>
      </c>
      <c r="C21" s="63"/>
      <c r="D21" s="63"/>
      <c r="E21" s="64"/>
      <c r="F21" s="56" t="str">
        <f>IFERROR( IF($F$2 &lt;&gt; "", INDEX(PROCESSING!$B$4:$B$15,  SMALL( IF( PROCESSING!$D$4:$I$15 = $F$2, ROW(PROCESSING!$B$4:$B$15)-ROW(PROCESSING!$B$4)+1 ),  ROWS(PROCESSING!$B$4:$B21)) ),""), "")</f>
        <v/>
      </c>
      <c r="G21" s="56" t="str">
        <f>IFERROR(VLOOKUP(F21,PROCESSING!$B:$I,9,0), "")</f>
        <v/>
      </c>
      <c r="H21" s="63"/>
      <c r="I21" s="63"/>
      <c r="J21" s="64"/>
      <c r="K21" s="56" t="str">
        <f t="array" ref="K21">IFERROR( IF($K$2 &lt;&gt; "", INDEX(PROCESSING!$B$4:$B$15,  SMALL( IF( PROCESSING!$D$4:$I$13 = $K$2, ROW(PROCESSING!$B$4:$B$15)-ROW(PROCESSING!$B$4)+1 ),  ROWS(PROCESSING!$B$4:$B21)) ),""), "")</f>
        <v/>
      </c>
      <c r="L21" s="56" t="str">
        <f>IFERROR(VLOOKUP(K21,PROCESSING!$B:$I,9,0), "")</f>
        <v/>
      </c>
      <c r="M21" s="63"/>
      <c r="N21" s="63"/>
      <c r="O21" s="64"/>
      <c r="P21" s="56" t="str">
        <f t="array" ref="P21">IFERROR( IF($P$2 &lt;&gt; "", INDEX(PROCESSING!$B$4:$B$15,  SMALL( IF( PROCESSING!$D$4:$I$15 = $P$2, ROW(PROCESSING!$B$4:$B$15)-ROW(PROCESSING!$B$4)+1 ),  ROWS(PROCESSING!$B$4:$B21)) ),""), "")</f>
        <v/>
      </c>
      <c r="Q21" s="56" t="str">
        <f>IFERROR(VLOOKUP(P21,PROCESSING!$B:$I,9,0), "")</f>
        <v/>
      </c>
      <c r="R21" s="63"/>
      <c r="S21" s="63"/>
      <c r="T21" s="64"/>
      <c r="U21" s="56" t="str">
        <f t="array" ref="U21">IFERROR( IF($U$2 &lt;&gt; "", INDEX(PROCESSING!$B$4:$B$15,  SMALL( IF( PROCESSING!$D$4:$I$15 = $U$2, ROW(PROCESSING!$B$4:$B$15)-ROW(PROCESSING!$B$4)+1 ),  ROWS(PROCESSING!$B$4:$B21)) ),""), "")</f>
        <v/>
      </c>
      <c r="V21" s="56" t="str">
        <f>IFERROR(VLOOKUP(U21,PROCESSING!$B:$I,9,0), "")</f>
        <v/>
      </c>
      <c r="W21" s="63"/>
      <c r="X21" s="63"/>
      <c r="Y21" s="64"/>
      <c r="Z21" s="56" t="str">
        <f t="array" ref="Z21">IFERROR( IF($Z$2 &lt;&gt; "", INDEX(PROCESSING!$B$4:$B$15,  SMALL( IF( PROCESSING!$D$4:$I$15 = $Z$2, ROW(PROCESSING!$B$4:$B$15)-ROW(PROCESSING!$B$4)+1 ),  ROWS(PROCESSING!$B$4:$B21)) ),""), "")</f>
        <v/>
      </c>
      <c r="AA21" s="56" t="str">
        <f>IFERROR(VLOOKUP(Z21,PROCESSING!$B:$I,9,0), "")</f>
        <v/>
      </c>
      <c r="AB21" s="63"/>
      <c r="AC21" s="63"/>
      <c r="AD21" s="64"/>
      <c r="AE21" s="65"/>
      <c r="AF21" s="65"/>
      <c r="AG21" s="65"/>
      <c r="AH21" s="65"/>
      <c r="AI21" s="65"/>
      <c r="AJ21" s="65"/>
      <c r="AK21" s="65"/>
      <c r="AL21" s="65"/>
      <c r="AM21" s="65"/>
      <c r="AN21" s="65"/>
      <c r="AO21" s="65"/>
    </row>
    <row r="22" spans="1:41" s="66" customFormat="1" ht="15.75" x14ac:dyDescent="0.25">
      <c r="A22" s="56">
        <f t="array" ref="A22">IFERROR( IF($A$2 &lt;&gt; "", INDEX(PROCESSING!$B$4:$B$15,  SMALL( IF( PROCESSING!$D$4:$I$15 = $F$2, ROW(PROCESSING!$B$4:$B$15)-ROW(PROCESSING!$B$4)+1 ),  ROWS(PROCESSING!$B$4:$B22)) ),""), "")</f>
        <v>0</v>
      </c>
      <c r="B22" s="56" t="str">
        <f>IFERROR(VLOOKUP(A22,PROCESSING!$B:$I,9,0), "")</f>
        <v/>
      </c>
      <c r="C22" s="63"/>
      <c r="D22" s="63"/>
      <c r="E22" s="64"/>
      <c r="F22" s="56" t="str">
        <f>IFERROR( IF($F$2 &lt;&gt; "", INDEX(PROCESSING!$B$4:$B$15,  SMALL( IF( PROCESSING!$D$4:$I$15 = $F$2, ROW(PROCESSING!$B$4:$B$15)-ROW(PROCESSING!$B$4)+1 ),  ROWS(PROCESSING!$B$4:$B22)) ),""), "")</f>
        <v/>
      </c>
      <c r="G22" s="56" t="str">
        <f>IFERROR(VLOOKUP(F22,PROCESSING!$B:$I,9,0), "")</f>
        <v/>
      </c>
      <c r="H22" s="63"/>
      <c r="I22" s="63"/>
      <c r="J22" s="64"/>
      <c r="K22" s="56" t="str">
        <f t="array" ref="K22">IFERROR( IF($K$2 &lt;&gt; "", INDEX(PROCESSING!$B$4:$B$15,  SMALL( IF( PROCESSING!$D$4:$I$13 = $K$2, ROW(PROCESSING!$B$4:$B$15)-ROW(PROCESSING!$B$4)+1 ),  ROWS(PROCESSING!$B$4:$B22)) ),""), "")</f>
        <v/>
      </c>
      <c r="L22" s="56" t="str">
        <f>IFERROR(VLOOKUP(K22,PROCESSING!$B:$I,9,0), "")</f>
        <v/>
      </c>
      <c r="M22" s="63"/>
      <c r="N22" s="63"/>
      <c r="O22" s="64"/>
      <c r="P22" s="56" t="str">
        <f t="array" ref="P22">IFERROR( IF($P$2 &lt;&gt; "", INDEX(PROCESSING!$B$4:$B$15,  SMALL( IF( PROCESSING!$D$4:$I$15 = $P$2, ROW(PROCESSING!$B$4:$B$15)-ROW(PROCESSING!$B$4)+1 ),  ROWS(PROCESSING!$B$4:$B22)) ),""), "")</f>
        <v/>
      </c>
      <c r="Q22" s="56" t="str">
        <f>IFERROR(VLOOKUP(P22,PROCESSING!$B:$I,9,0), "")</f>
        <v/>
      </c>
      <c r="R22" s="63"/>
      <c r="S22" s="63"/>
      <c r="T22" s="64"/>
      <c r="U22" s="56" t="str">
        <f t="array" ref="U22">IFERROR( IF($U$2 &lt;&gt; "", INDEX(PROCESSING!$B$4:$B$15,  SMALL( IF( PROCESSING!$D$4:$I$15 = $U$2, ROW(PROCESSING!$B$4:$B$15)-ROW(PROCESSING!$B$4)+1 ),  ROWS(PROCESSING!$B$4:$B22)) ),""), "")</f>
        <v/>
      </c>
      <c r="V22" s="56" t="str">
        <f>IFERROR(VLOOKUP(U22,PROCESSING!$B:$I,9,0), "")</f>
        <v/>
      </c>
      <c r="W22" s="63"/>
      <c r="X22" s="63"/>
      <c r="Y22" s="64"/>
      <c r="Z22" s="56" t="str">
        <f t="array" ref="Z22">IFERROR( IF($Z$2 &lt;&gt; "", INDEX(PROCESSING!$B$4:$B$15,  SMALL( IF( PROCESSING!$D$4:$I$15 = $Z$2, ROW(PROCESSING!$B$4:$B$15)-ROW(PROCESSING!$B$4)+1 ),  ROWS(PROCESSING!$B$4:$B22)) ),""), "")</f>
        <v/>
      </c>
      <c r="AA22" s="56" t="str">
        <f>IFERROR(VLOOKUP(Z22,PROCESSING!$B:$I,9,0), "")</f>
        <v/>
      </c>
      <c r="AB22" s="63"/>
      <c r="AC22" s="63"/>
      <c r="AD22" s="64"/>
      <c r="AE22" s="65"/>
      <c r="AF22" s="65"/>
      <c r="AG22" s="65"/>
      <c r="AH22" s="65"/>
      <c r="AI22" s="65"/>
      <c r="AJ22" s="65"/>
      <c r="AK22" s="65"/>
      <c r="AL22" s="65"/>
      <c r="AM22" s="65"/>
      <c r="AN22" s="65"/>
      <c r="AO22" s="65"/>
    </row>
    <row r="23" spans="1:41" s="66" customFormat="1" ht="15.75" x14ac:dyDescent="0.25">
      <c r="A23" s="56">
        <f t="array" ref="A23">IFERROR( IF($A$2 &lt;&gt; "", INDEX(PROCESSING!$B$4:$B$15,  SMALL( IF( PROCESSING!$D$4:$I$15 = $F$2, ROW(PROCESSING!$B$4:$B$15)-ROW(PROCESSING!$B$4)+1 ),  ROWS(PROCESSING!$B$4:$B23)) ),""), "")</f>
        <v>0</v>
      </c>
      <c r="B23" s="56" t="str">
        <f>IFERROR(VLOOKUP(A23,PROCESSING!$B:$I,9,0), "")</f>
        <v/>
      </c>
      <c r="C23" s="63"/>
      <c r="D23" s="63"/>
      <c r="E23" s="64"/>
      <c r="F23" s="56" t="str">
        <f>IFERROR( IF($F$2 &lt;&gt; "", INDEX(PROCESSING!$B$4:$B$15,  SMALL( IF( PROCESSING!$D$4:$I$15 = $F$2, ROW(PROCESSING!$B$4:$B$15)-ROW(PROCESSING!$B$4)+1 ),  ROWS(PROCESSING!$B$4:$B23)) ),""), "")</f>
        <v/>
      </c>
      <c r="G23" s="56" t="str">
        <f>IFERROR(VLOOKUP(F23,PROCESSING!$B:$I,9,0), "")</f>
        <v/>
      </c>
      <c r="H23" s="63"/>
      <c r="I23" s="63"/>
      <c r="J23" s="64"/>
      <c r="K23" s="56" t="str">
        <f t="array" ref="K23">IFERROR( IF($K$2 &lt;&gt; "", INDEX(PROCESSING!$B$4:$B$15,  SMALL( IF( PROCESSING!$D$4:$I$13 = $K$2, ROW(PROCESSING!$B$4:$B$15)-ROW(PROCESSING!$B$4)+1 ),  ROWS(PROCESSING!$B$4:$B23)) ),""), "")</f>
        <v/>
      </c>
      <c r="L23" s="56" t="str">
        <f>IFERROR(VLOOKUP(K23,PROCESSING!$B:$I,9,0), "")</f>
        <v/>
      </c>
      <c r="M23" s="63"/>
      <c r="N23" s="63"/>
      <c r="O23" s="64"/>
      <c r="P23" s="56" t="str">
        <f t="array" ref="P23">IFERROR( IF($P$2 &lt;&gt; "", INDEX(PROCESSING!$B$4:$B$15,  SMALL( IF( PROCESSING!$D$4:$I$15 = $P$2, ROW(PROCESSING!$B$4:$B$15)-ROW(PROCESSING!$B$4)+1 ),  ROWS(PROCESSING!$B$4:$B23)) ),""), "")</f>
        <v/>
      </c>
      <c r="Q23" s="56" t="str">
        <f>IFERROR(VLOOKUP(P23,PROCESSING!$B:$I,9,0), "")</f>
        <v/>
      </c>
      <c r="R23" s="63"/>
      <c r="S23" s="63"/>
      <c r="T23" s="64"/>
      <c r="U23" s="56" t="str">
        <f t="array" ref="U23">IFERROR( IF($U$2 &lt;&gt; "", INDEX(PROCESSING!$B$4:$B$15,  SMALL( IF( PROCESSING!$D$4:$I$15 = $U$2, ROW(PROCESSING!$B$4:$B$15)-ROW(PROCESSING!$B$4)+1 ),  ROWS(PROCESSING!$B$4:$B23)) ),""), "")</f>
        <v/>
      </c>
      <c r="V23" s="56" t="str">
        <f>IFERROR(VLOOKUP(U23,PROCESSING!$B:$I,9,0), "")</f>
        <v/>
      </c>
      <c r="W23" s="63"/>
      <c r="X23" s="63"/>
      <c r="Y23" s="64"/>
      <c r="Z23" s="56" t="str">
        <f t="array" ref="Z23">IFERROR( IF($Z$2 &lt;&gt; "", INDEX(PROCESSING!$B$4:$B$15,  SMALL( IF( PROCESSING!$D$4:$I$15 = $Z$2, ROW(PROCESSING!$B$4:$B$15)-ROW(PROCESSING!$B$4)+1 ),  ROWS(PROCESSING!$B$4:$B23)) ),""), "")</f>
        <v/>
      </c>
      <c r="AA23" s="56" t="str">
        <f>IFERROR(VLOOKUP(Z23,PROCESSING!$B:$I,9,0), "")</f>
        <v/>
      </c>
      <c r="AB23" s="63"/>
      <c r="AC23" s="63"/>
      <c r="AD23" s="64"/>
      <c r="AE23" s="65"/>
      <c r="AF23" s="65"/>
      <c r="AG23" s="65"/>
      <c r="AH23" s="65"/>
      <c r="AI23" s="65"/>
      <c r="AJ23" s="65"/>
      <c r="AK23" s="65"/>
      <c r="AL23" s="65"/>
      <c r="AM23" s="65"/>
      <c r="AN23" s="65"/>
      <c r="AO23" s="65"/>
    </row>
    <row r="24" spans="1:41" s="66" customFormat="1" ht="15.75" x14ac:dyDescent="0.25">
      <c r="A24" s="56">
        <f t="array" ref="A24">IFERROR( IF($A$2 &lt;&gt; "", INDEX(PROCESSING!$B$4:$B$15,  SMALL( IF( PROCESSING!$D$4:$I$15 = $F$2, ROW(PROCESSING!$B$4:$B$15)-ROW(PROCESSING!$B$4)+1 ),  ROWS(PROCESSING!$B$4:$B24)) ),""), "")</f>
        <v>0</v>
      </c>
      <c r="B24" s="56" t="str">
        <f>IFERROR(VLOOKUP(A24,PROCESSING!$B:$I,9,0), "")</f>
        <v/>
      </c>
      <c r="C24" s="63"/>
      <c r="D24" s="63"/>
      <c r="E24" s="64"/>
      <c r="F24" s="56" t="str">
        <f>IFERROR( IF($F$2 &lt;&gt; "", INDEX(PROCESSING!$B$4:$B$15,  SMALL( IF( PROCESSING!$D$4:$I$15 = $F$2, ROW(PROCESSING!$B$4:$B$15)-ROW(PROCESSING!$B$4)+1 ),  ROWS(PROCESSING!$B$4:$B24)) ),""), "")</f>
        <v/>
      </c>
      <c r="G24" s="56" t="str">
        <f>IFERROR(VLOOKUP(F24,PROCESSING!$B:$I,9,0), "")</f>
        <v/>
      </c>
      <c r="H24" s="63"/>
      <c r="I24" s="63"/>
      <c r="J24" s="64"/>
      <c r="K24" s="56" t="str">
        <f t="array" ref="K24">IFERROR( IF($K$2 &lt;&gt; "", INDEX(PROCESSING!$B$4:$B$15,  SMALL( IF( PROCESSING!$D$4:$I$13 = $K$2, ROW(PROCESSING!$B$4:$B$15)-ROW(PROCESSING!$B$4)+1 ),  ROWS(PROCESSING!$B$4:$B24)) ),""), "")</f>
        <v/>
      </c>
      <c r="L24" s="56" t="str">
        <f>IFERROR(VLOOKUP(K24,PROCESSING!$B:$I,9,0), "")</f>
        <v/>
      </c>
      <c r="M24" s="63"/>
      <c r="N24" s="63"/>
      <c r="O24" s="64"/>
      <c r="P24" s="56" t="str">
        <f t="array" ref="P24">IFERROR( IF($P$2 &lt;&gt; "", INDEX(PROCESSING!$B$4:$B$15,  SMALL( IF( PROCESSING!$D$4:$I$15 = $P$2, ROW(PROCESSING!$B$4:$B$15)-ROW(PROCESSING!$B$4)+1 ),  ROWS(PROCESSING!$B$4:$B24)) ),""), "")</f>
        <v/>
      </c>
      <c r="Q24" s="56" t="str">
        <f>IFERROR(VLOOKUP(P24,PROCESSING!$B:$I,9,0), "")</f>
        <v/>
      </c>
      <c r="R24" s="63"/>
      <c r="S24" s="63"/>
      <c r="T24" s="64"/>
      <c r="U24" s="56" t="str">
        <f t="array" ref="U24">IFERROR( IF($U$2 &lt;&gt; "", INDEX(PROCESSING!$B$4:$B$15,  SMALL( IF( PROCESSING!$D$4:$I$15 = $U$2, ROW(PROCESSING!$B$4:$B$15)-ROW(PROCESSING!$B$4)+1 ),  ROWS(PROCESSING!$B$4:$B24)) ),""), "")</f>
        <v/>
      </c>
      <c r="V24" s="56" t="str">
        <f>IFERROR(VLOOKUP(U24,PROCESSING!$B:$I,9,0), "")</f>
        <v/>
      </c>
      <c r="W24" s="63"/>
      <c r="X24" s="63"/>
      <c r="Y24" s="64"/>
      <c r="Z24" s="56" t="str">
        <f t="array" ref="Z24">IFERROR( IF($Z$2 &lt;&gt; "", INDEX(PROCESSING!$B$4:$B$15,  SMALL( IF( PROCESSING!$D$4:$I$15 = $Z$2, ROW(PROCESSING!$B$4:$B$15)-ROW(PROCESSING!$B$4)+1 ),  ROWS(PROCESSING!$B$4:$B24)) ),""), "")</f>
        <v/>
      </c>
      <c r="AA24" s="56" t="str">
        <f>IFERROR(VLOOKUP(Z24,PROCESSING!$B:$I,9,0), "")</f>
        <v/>
      </c>
      <c r="AB24" s="63"/>
      <c r="AC24" s="63"/>
      <c r="AD24" s="64"/>
      <c r="AE24" s="65"/>
      <c r="AF24" s="65"/>
      <c r="AG24" s="65"/>
      <c r="AH24" s="65"/>
      <c r="AI24" s="65"/>
      <c r="AJ24" s="65"/>
      <c r="AK24" s="65"/>
      <c r="AL24" s="65"/>
      <c r="AM24" s="65"/>
      <c r="AN24" s="65"/>
      <c r="AO24" s="65"/>
    </row>
    <row r="25" spans="1:41" s="66" customFormat="1" ht="15.75" x14ac:dyDescent="0.25">
      <c r="A25" s="56">
        <f t="array" ref="A25">IFERROR( IF($A$2 &lt;&gt; "", INDEX(PROCESSING!$B$4:$B$15,  SMALL( IF( PROCESSING!$D$4:$I$15 = $F$2, ROW(PROCESSING!$B$4:$B$15)-ROW(PROCESSING!$B$4)+1 ),  ROWS(PROCESSING!$B$4:$B25)) ),""), "")</f>
        <v>0</v>
      </c>
      <c r="B25" s="56" t="str">
        <f>IFERROR(VLOOKUP(A25,PROCESSING!$B:$I,9,0), "")</f>
        <v/>
      </c>
      <c r="C25" s="63"/>
      <c r="D25" s="63"/>
      <c r="E25" s="64"/>
      <c r="F25" s="56" t="str">
        <f>IFERROR( IF($F$2 &lt;&gt; "", INDEX(PROCESSING!$B$4:$B$15,  SMALL( IF( PROCESSING!$D$4:$I$15 = $F$2, ROW(PROCESSING!$B$4:$B$15)-ROW(PROCESSING!$B$4)+1 ),  ROWS(PROCESSING!$B$4:$B25)) ),""), "")</f>
        <v/>
      </c>
      <c r="G25" s="56" t="str">
        <f>IFERROR(VLOOKUP(F25,PROCESSING!$B:$I,9,0), "")</f>
        <v/>
      </c>
      <c r="H25" s="63"/>
      <c r="I25" s="63"/>
      <c r="J25" s="64"/>
      <c r="K25" s="56" t="str">
        <f t="array" ref="K25">IFERROR( IF($K$2 &lt;&gt; "", INDEX(PROCESSING!$B$4:$B$15,  SMALL( IF( PROCESSING!$D$4:$I$13 = $K$2, ROW(PROCESSING!$B$4:$B$15)-ROW(PROCESSING!$B$4)+1 ),  ROWS(PROCESSING!$B$4:$B25)) ),""), "")</f>
        <v/>
      </c>
      <c r="L25" s="56" t="str">
        <f>IFERROR(VLOOKUP(K25,PROCESSING!$B:$I,9,0), "")</f>
        <v/>
      </c>
      <c r="M25" s="63"/>
      <c r="N25" s="63"/>
      <c r="O25" s="64"/>
      <c r="P25" s="56" t="str">
        <f t="array" ref="P25">IFERROR( IF($P$2 &lt;&gt; "", INDEX(PROCESSING!$B$4:$B$15,  SMALL( IF( PROCESSING!$D$4:$I$15 = $P$2, ROW(PROCESSING!$B$4:$B$15)-ROW(PROCESSING!$B$4)+1 ),  ROWS(PROCESSING!$B$4:$B25)) ),""), "")</f>
        <v/>
      </c>
      <c r="Q25" s="56" t="str">
        <f>IFERROR(VLOOKUP(P25,PROCESSING!$B:$I,9,0), "")</f>
        <v/>
      </c>
      <c r="R25" s="63"/>
      <c r="S25" s="63"/>
      <c r="T25" s="64"/>
      <c r="U25" s="56" t="str">
        <f t="array" ref="U25">IFERROR( IF($U$2 &lt;&gt; "", INDEX(PROCESSING!$B$4:$B$15,  SMALL( IF( PROCESSING!$D$4:$I$15 = $U$2, ROW(PROCESSING!$B$4:$B$15)-ROW(PROCESSING!$B$4)+1 ),  ROWS(PROCESSING!$B$4:$B25)) ),""), "")</f>
        <v/>
      </c>
      <c r="V25" s="56" t="str">
        <f>IFERROR(VLOOKUP(U25,PROCESSING!$B:$I,9,0), "")</f>
        <v/>
      </c>
      <c r="W25" s="63"/>
      <c r="X25" s="63"/>
      <c r="Y25" s="64"/>
      <c r="Z25" s="56" t="str">
        <f t="array" ref="Z25">IFERROR( IF($Z$2 &lt;&gt; "", INDEX(PROCESSING!$B$4:$B$15,  SMALL( IF( PROCESSING!$D$4:$I$15 = $Z$2, ROW(PROCESSING!$B$4:$B$15)-ROW(PROCESSING!$B$4)+1 ),  ROWS(PROCESSING!$B$4:$B25)) ),""), "")</f>
        <v/>
      </c>
      <c r="AA25" s="56" t="str">
        <f>IFERROR(VLOOKUP(Z25,PROCESSING!$B:$I,9,0), "")</f>
        <v/>
      </c>
      <c r="AB25" s="63"/>
      <c r="AC25" s="63"/>
      <c r="AD25" s="64"/>
      <c r="AE25" s="65"/>
      <c r="AF25" s="65"/>
      <c r="AG25" s="65"/>
      <c r="AH25" s="65"/>
      <c r="AI25" s="65"/>
      <c r="AJ25" s="65"/>
      <c r="AK25" s="65"/>
      <c r="AL25" s="65"/>
      <c r="AM25" s="65"/>
      <c r="AN25" s="65"/>
      <c r="AO25" s="65"/>
    </row>
    <row r="26" spans="1:41" s="66" customFormat="1" ht="15.75" x14ac:dyDescent="0.25">
      <c r="A26" s="56">
        <f t="array" ref="A26">IFERROR( IF($A$2 &lt;&gt; "", INDEX(PROCESSING!$B$4:$B$15,  SMALL( IF( PROCESSING!$D$4:$I$15 = $F$2, ROW(PROCESSING!$B$4:$B$15)-ROW(PROCESSING!$B$4)+1 ),  ROWS(PROCESSING!$B$4:$B26)) ),""), "")</f>
        <v>0</v>
      </c>
      <c r="B26" s="56" t="str">
        <f>IFERROR(VLOOKUP(A26,PROCESSING!$B:$I,9,0), "")</f>
        <v/>
      </c>
      <c r="C26" s="63"/>
      <c r="D26" s="63"/>
      <c r="E26" s="64"/>
      <c r="F26" s="56" t="str">
        <f>IFERROR( IF($F$2 &lt;&gt; "", INDEX(PROCESSING!$B$4:$B$15,  SMALL( IF( PROCESSING!$D$4:$I$15 = $F$2, ROW(PROCESSING!$B$4:$B$15)-ROW(PROCESSING!$B$4)+1 ),  ROWS(PROCESSING!$B$4:$B26)) ),""), "")</f>
        <v/>
      </c>
      <c r="G26" s="56" t="str">
        <f>IFERROR(VLOOKUP(F26,PROCESSING!$B:$I,9,0), "")</f>
        <v/>
      </c>
      <c r="H26" s="63"/>
      <c r="I26" s="63"/>
      <c r="J26" s="64"/>
      <c r="K26" s="56" t="str">
        <f t="array" ref="K26">IFERROR( IF($K$2 &lt;&gt; "", INDEX(PROCESSING!$B$4:$B$15,  SMALL( IF( PROCESSING!$D$4:$I$13 = $K$2, ROW(PROCESSING!$B$4:$B$15)-ROW(PROCESSING!$B$4)+1 ),  ROWS(PROCESSING!$B$4:$B26)) ),""), "")</f>
        <v/>
      </c>
      <c r="L26" s="56" t="str">
        <f>IFERROR(VLOOKUP(K26,PROCESSING!$B:$I,9,0), "")</f>
        <v/>
      </c>
      <c r="M26" s="63"/>
      <c r="N26" s="63"/>
      <c r="O26" s="64"/>
      <c r="P26" s="56" t="str">
        <f t="array" ref="P26">IFERROR( IF($P$2 &lt;&gt; "", INDEX(PROCESSING!$B$4:$B$15,  SMALL( IF( PROCESSING!$D$4:$I$15 = $P$2, ROW(PROCESSING!$B$4:$B$15)-ROW(PROCESSING!$B$4)+1 ),  ROWS(PROCESSING!$B$4:$B26)) ),""), "")</f>
        <v/>
      </c>
      <c r="Q26" s="56" t="str">
        <f>IFERROR(VLOOKUP(P26,PROCESSING!$B:$I,9,0), "")</f>
        <v/>
      </c>
      <c r="R26" s="63"/>
      <c r="S26" s="63"/>
      <c r="T26" s="64"/>
      <c r="U26" s="56" t="str">
        <f t="array" ref="U26">IFERROR( IF($U$2 &lt;&gt; "", INDEX(PROCESSING!$B$4:$B$15,  SMALL( IF( PROCESSING!$D$4:$I$15 = $U$2, ROW(PROCESSING!$B$4:$B$15)-ROW(PROCESSING!$B$4)+1 ),  ROWS(PROCESSING!$B$4:$B26)) ),""), "")</f>
        <v/>
      </c>
      <c r="V26" s="56" t="str">
        <f>IFERROR(VLOOKUP(U26,PROCESSING!$B:$I,9,0), "")</f>
        <v/>
      </c>
      <c r="W26" s="63"/>
      <c r="X26" s="63"/>
      <c r="Y26" s="64"/>
      <c r="Z26" s="56" t="str">
        <f t="array" ref="Z26">IFERROR( IF($Z$2 &lt;&gt; "", INDEX(PROCESSING!$B$4:$B$15,  SMALL( IF( PROCESSING!$D$4:$I$15 = $Z$2, ROW(PROCESSING!$B$4:$B$15)-ROW(PROCESSING!$B$4)+1 ),  ROWS(PROCESSING!$B$4:$B26)) ),""), "")</f>
        <v/>
      </c>
      <c r="AA26" s="56" t="str">
        <f>IFERROR(VLOOKUP(Z26,PROCESSING!$B:$I,9,0), "")</f>
        <v/>
      </c>
      <c r="AB26" s="63"/>
      <c r="AC26" s="63"/>
      <c r="AD26" s="64"/>
      <c r="AE26" s="65"/>
      <c r="AF26" s="65"/>
      <c r="AG26" s="65"/>
      <c r="AH26" s="65"/>
      <c r="AI26" s="65"/>
      <c r="AJ26" s="65"/>
      <c r="AK26" s="65"/>
      <c r="AL26" s="65"/>
      <c r="AM26" s="65"/>
      <c r="AN26" s="65"/>
      <c r="AO26" s="65"/>
    </row>
    <row r="27" spans="1:41" s="66" customFormat="1" ht="15.75" x14ac:dyDescent="0.25">
      <c r="A27" s="56">
        <f t="array" ref="A27">IFERROR( IF($A$2 &lt;&gt; "", INDEX(PROCESSING!$B$4:$B$15,  SMALL( IF( PROCESSING!$D$4:$I$15 = $F$2, ROW(PROCESSING!$B$4:$B$15)-ROW(PROCESSING!$B$4)+1 ),  ROWS(PROCESSING!$B$4:$B27)) ),""), "")</f>
        <v>0</v>
      </c>
      <c r="B27" s="56" t="str">
        <f>IFERROR(VLOOKUP(A27,PROCESSING!$B:$I,9,0), "")</f>
        <v/>
      </c>
      <c r="C27" s="63"/>
      <c r="D27" s="63"/>
      <c r="E27" s="64"/>
      <c r="F27" s="56" t="str">
        <f>IFERROR( IF($F$2 &lt;&gt; "", INDEX(PROCESSING!$B$4:$B$15,  SMALL( IF( PROCESSING!$D$4:$I$15 = $F$2, ROW(PROCESSING!$B$4:$B$15)-ROW(PROCESSING!$B$4)+1 ),  ROWS(PROCESSING!$B$4:$B27)) ),""), "")</f>
        <v/>
      </c>
      <c r="G27" s="56" t="str">
        <f>IFERROR(VLOOKUP(F27,PROCESSING!$B:$I,9,0), "")</f>
        <v/>
      </c>
      <c r="H27" s="63"/>
      <c r="I27" s="63"/>
      <c r="J27" s="64"/>
      <c r="K27" s="56" t="str">
        <f t="array" ref="K27">IFERROR( IF($K$2 &lt;&gt; "", INDEX(PROCESSING!$B$4:$B$15,  SMALL( IF( PROCESSING!$D$4:$I$13 = $K$2, ROW(PROCESSING!$B$4:$B$15)-ROW(PROCESSING!$B$4)+1 ),  ROWS(PROCESSING!$B$4:$B27)) ),""), "")</f>
        <v/>
      </c>
      <c r="L27" s="56" t="str">
        <f>IFERROR(VLOOKUP(K27,PROCESSING!$B:$I,9,0), "")</f>
        <v/>
      </c>
      <c r="M27" s="63"/>
      <c r="N27" s="63"/>
      <c r="O27" s="64"/>
      <c r="P27" s="56" t="str">
        <f t="array" ref="P27">IFERROR( IF($P$2 &lt;&gt; "", INDEX(PROCESSING!$B$4:$B$15,  SMALL( IF( PROCESSING!$D$4:$I$15 = $P$2, ROW(PROCESSING!$B$4:$B$15)-ROW(PROCESSING!$B$4)+1 ),  ROWS(PROCESSING!$B$4:$B27)) ),""), "")</f>
        <v/>
      </c>
      <c r="Q27" s="56" t="str">
        <f>IFERROR(VLOOKUP(P27,PROCESSING!$B:$I,9,0), "")</f>
        <v/>
      </c>
      <c r="R27" s="63"/>
      <c r="S27" s="63"/>
      <c r="T27" s="64"/>
      <c r="U27" s="56" t="str">
        <f t="array" ref="U27">IFERROR( IF($U$2 &lt;&gt; "", INDEX(PROCESSING!$B$4:$B$15,  SMALL( IF( PROCESSING!$D$4:$I$15 = $U$2, ROW(PROCESSING!$B$4:$B$15)-ROW(PROCESSING!$B$4)+1 ),  ROWS(PROCESSING!$B$4:$B27)) ),""), "")</f>
        <v/>
      </c>
      <c r="V27" s="56" t="str">
        <f>IFERROR(VLOOKUP(U27,PROCESSING!$B:$I,9,0), "")</f>
        <v/>
      </c>
      <c r="W27" s="63"/>
      <c r="X27" s="63"/>
      <c r="Y27" s="64"/>
      <c r="Z27" s="56" t="str">
        <f t="array" ref="Z27">IFERROR( IF($Z$2 &lt;&gt; "", INDEX(PROCESSING!$B$4:$B$15,  SMALL( IF( PROCESSING!$D$4:$I$15 = $Z$2, ROW(PROCESSING!$B$4:$B$15)-ROW(PROCESSING!$B$4)+1 ),  ROWS(PROCESSING!$B$4:$B27)) ),""), "")</f>
        <v/>
      </c>
      <c r="AA27" s="56" t="str">
        <f>IFERROR(VLOOKUP(Z27,PROCESSING!$B:$I,9,0), "")</f>
        <v/>
      </c>
      <c r="AB27" s="63"/>
      <c r="AC27" s="63"/>
      <c r="AD27" s="64"/>
      <c r="AE27" s="65"/>
      <c r="AF27" s="65"/>
      <c r="AG27" s="65"/>
      <c r="AH27" s="65"/>
      <c r="AI27" s="65"/>
      <c r="AJ27" s="65"/>
      <c r="AK27" s="65"/>
      <c r="AL27" s="65"/>
      <c r="AM27" s="65"/>
      <c r="AN27" s="65"/>
      <c r="AO27" s="65"/>
    </row>
    <row r="28" spans="1:41" s="66" customFormat="1" ht="78.75" x14ac:dyDescent="0.25">
      <c r="A28" s="56" t="str">
        <f t="array" ref="A28">IFERROR( IF($A$2 &lt;&gt; "", INDEX(PROCESSING!$B$4:$B$15,  SMALL( IF( PROCESSING!$D$4:$I$15 = $F$2, ROW(PROCESSING!$B$4:$B$15)-ROW(PROCESSING!$B$4)+1 ),  ROWS(PROCESSING!$B$4:$B28))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28" s="56" t="str">
        <f>IFERROR(VLOOKUP(A28,PROCESSING!$B:$I,9,0), "")</f>
        <v/>
      </c>
      <c r="C28" s="63"/>
      <c r="D28" s="63"/>
      <c r="E28" s="64"/>
      <c r="F28" s="56" t="str">
        <f>IFERROR( IF($F$2 &lt;&gt; "", INDEX(PROCESSING!$B$4:$B$15,  SMALL( IF( PROCESSING!$D$4:$I$15 = $F$2, ROW(PROCESSING!$B$4:$B$15)-ROW(PROCESSING!$B$4)+1 ),  ROWS(PROCESSING!$B$4:$B28)) ),""), "")</f>
        <v/>
      </c>
      <c r="G28" s="56" t="str">
        <f>IFERROR(VLOOKUP(F28,PROCESSING!$B:$I,9,0), "")</f>
        <v/>
      </c>
      <c r="H28" s="63"/>
      <c r="I28" s="63"/>
      <c r="J28" s="64"/>
      <c r="K28" s="56" t="str">
        <f t="array" ref="K28">IFERROR( IF($K$2 &lt;&gt; "", INDEX(PROCESSING!$B$4:$B$15,  SMALL( IF( PROCESSING!$D$4:$I$13 = $K$2, ROW(PROCESSING!$B$4:$B$15)-ROW(PROCESSING!$B$4)+1 ),  ROWS(PROCESSING!$B$4:$B28)) ),""), "")</f>
        <v/>
      </c>
      <c r="L28" s="56" t="str">
        <f>IFERROR(VLOOKUP(K28,PROCESSING!$B:$I,9,0), "")</f>
        <v/>
      </c>
      <c r="M28" s="63"/>
      <c r="N28" s="63"/>
      <c r="O28" s="64"/>
      <c r="P28" s="56" t="str">
        <f t="array" ref="P28">IFERROR( IF($P$2 &lt;&gt; "", INDEX(PROCESSING!$B$4:$B$15,  SMALL( IF( PROCESSING!$D$4:$I$15 = $P$2, ROW(PROCESSING!$B$4:$B$15)-ROW(PROCESSING!$B$4)+1 ),  ROWS(PROCESSING!$B$4:$B28)) ),""), "")</f>
        <v/>
      </c>
      <c r="Q28" s="56" t="str">
        <f>IFERROR(VLOOKUP(P28,PROCESSING!$B:$I,9,0), "")</f>
        <v/>
      </c>
      <c r="R28" s="63"/>
      <c r="S28" s="63"/>
      <c r="T28" s="64"/>
      <c r="U28" s="56" t="str">
        <f t="array" ref="U28">IFERROR( IF($U$2 &lt;&gt; "", INDEX(PROCESSING!$B$4:$B$15,  SMALL( IF( PROCESSING!$D$4:$I$15 = $U$2, ROW(PROCESSING!$B$4:$B$15)-ROW(PROCESSING!$B$4)+1 ),  ROWS(PROCESSING!$B$4:$B28)) ),""), "")</f>
        <v/>
      </c>
      <c r="V28" s="56" t="str">
        <f>IFERROR(VLOOKUP(U28,PROCESSING!$B:$I,9,0), "")</f>
        <v/>
      </c>
      <c r="W28" s="63"/>
      <c r="X28" s="63"/>
      <c r="Y28" s="64"/>
      <c r="Z28" s="56" t="str">
        <f t="array" ref="Z28">IFERROR( IF($Z$2 &lt;&gt; "", INDEX(PROCESSING!$B$4:$B$15,  SMALL( IF( PROCESSING!$D$4:$I$15 = $Z$2, ROW(PROCESSING!$B$4:$B$15)-ROW(PROCESSING!$B$4)+1 ),  ROWS(PROCESSING!$B$4:$B28)) ),""), "")</f>
        <v/>
      </c>
      <c r="AA28" s="56" t="str">
        <f>IFERROR(VLOOKUP(Z28,PROCESSING!$B:$I,9,0), "")</f>
        <v/>
      </c>
      <c r="AB28" s="63"/>
      <c r="AC28" s="63"/>
      <c r="AD28" s="64"/>
      <c r="AE28" s="65"/>
      <c r="AF28" s="65"/>
      <c r="AG28" s="65"/>
      <c r="AH28" s="65"/>
      <c r="AI28" s="65"/>
      <c r="AJ28" s="65"/>
      <c r="AK28" s="65"/>
      <c r="AL28" s="65"/>
      <c r="AM28" s="65"/>
      <c r="AN28" s="65"/>
      <c r="AO28" s="65"/>
    </row>
    <row r="29" spans="1:41" s="66" customFormat="1" ht="78.75" x14ac:dyDescent="0.25">
      <c r="A29" s="56" t="str">
        <f t="array" ref="A29">IFERROR( IF($A$2 &lt;&gt; "", INDEX(PROCESSING!$B$4:$B$15,  SMALL( IF( PROCESSING!$D$4:$I$15 = $F$2, ROW(PROCESSING!$B$4:$B$15)-ROW(PROCESSING!$B$4)+1 ),  ROWS(PROCESSING!$B$4:$B29))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29" s="56" t="str">
        <f>IFERROR(VLOOKUP(A29,PROCESSING!$B:$I,9,0), "")</f>
        <v/>
      </c>
      <c r="C29" s="63"/>
      <c r="D29" s="63"/>
      <c r="E29" s="64"/>
      <c r="F29" s="56" t="str">
        <f>IFERROR( IF($F$2 &lt;&gt; "", INDEX(PROCESSING!$B$4:$B$15,  SMALL( IF( PROCESSING!$D$4:$I$15 = $F$2, ROW(PROCESSING!$B$4:$B$15)-ROW(PROCESSING!$B$4)+1 ),  ROWS(PROCESSING!$B$4:$B29)) ),""), "")</f>
        <v/>
      </c>
      <c r="G29" s="56" t="str">
        <f>IFERROR(VLOOKUP(F29,PROCESSING!$B:$I,9,0), "")</f>
        <v/>
      </c>
      <c r="H29" s="63"/>
      <c r="I29" s="63"/>
      <c r="J29" s="64"/>
      <c r="K29" s="56" t="str">
        <f t="array" ref="K29">IFERROR( IF($K$2 &lt;&gt; "", INDEX(PROCESSING!$B$4:$B$15,  SMALL( IF( PROCESSING!$D$4:$I$13 = $K$2, ROW(PROCESSING!$B$4:$B$15)-ROW(PROCESSING!$B$4)+1 ),  ROWS(PROCESSING!$B$4:$B29)) ),""), "")</f>
        <v/>
      </c>
      <c r="L29" s="56" t="str">
        <f>IFERROR(VLOOKUP(K29,PROCESSING!$B:$I,9,0), "")</f>
        <v/>
      </c>
      <c r="M29" s="63"/>
      <c r="N29" s="63"/>
      <c r="O29" s="64"/>
      <c r="P29" s="56" t="str">
        <f t="array" ref="P29">IFERROR( IF($P$2 &lt;&gt; "", INDEX(PROCESSING!$B$4:$B$15,  SMALL( IF( PROCESSING!$D$4:$I$15 = $P$2, ROW(PROCESSING!$B$4:$B$15)-ROW(PROCESSING!$B$4)+1 ),  ROWS(PROCESSING!$B$4:$B29)) ),""), "")</f>
        <v/>
      </c>
      <c r="Q29" s="56" t="str">
        <f>IFERROR(VLOOKUP(P29,PROCESSING!$B:$I,9,0), "")</f>
        <v/>
      </c>
      <c r="R29" s="63"/>
      <c r="S29" s="63"/>
      <c r="T29" s="64"/>
      <c r="U29" s="56" t="str">
        <f t="array" ref="U29">IFERROR( IF($U$2 &lt;&gt; "", INDEX(PROCESSING!$B$4:$B$15,  SMALL( IF( PROCESSING!$D$4:$I$15 = $U$2, ROW(PROCESSING!$B$4:$B$15)-ROW(PROCESSING!$B$4)+1 ),  ROWS(PROCESSING!$B$4:$B29)) ),""), "")</f>
        <v/>
      </c>
      <c r="V29" s="56" t="str">
        <f>IFERROR(VLOOKUP(U29,PROCESSING!$B:$I,9,0), "")</f>
        <v/>
      </c>
      <c r="W29" s="63"/>
      <c r="X29" s="63"/>
      <c r="Y29" s="64"/>
      <c r="Z29" s="56" t="str">
        <f t="array" ref="Z29">IFERROR( IF($Z$2 &lt;&gt; "", INDEX(PROCESSING!$B$4:$B$15,  SMALL( IF( PROCESSING!$D$4:$I$15 = $Z$2, ROW(PROCESSING!$B$4:$B$15)-ROW(PROCESSING!$B$4)+1 ),  ROWS(PROCESSING!$B$4:$B29)) ),""), "")</f>
        <v/>
      </c>
      <c r="AA29" s="56" t="str">
        <f>IFERROR(VLOOKUP(Z29,PROCESSING!$B:$I,9,0), "")</f>
        <v/>
      </c>
      <c r="AB29" s="63"/>
      <c r="AC29" s="63"/>
      <c r="AD29" s="64"/>
      <c r="AE29" s="65"/>
      <c r="AF29" s="65"/>
      <c r="AG29" s="65"/>
      <c r="AH29" s="65"/>
      <c r="AI29" s="65"/>
      <c r="AJ29" s="65"/>
      <c r="AK29" s="65"/>
      <c r="AL29" s="65"/>
      <c r="AM29" s="65"/>
      <c r="AN29" s="65"/>
      <c r="AO29" s="65"/>
    </row>
    <row r="30" spans="1:41" s="66" customFormat="1" ht="78.75" x14ac:dyDescent="0.25">
      <c r="A30" s="56" t="str">
        <f t="array" ref="A30">IFERROR( IF($A$2 &lt;&gt; "", INDEX(PROCESSING!$B$4:$B$15,  SMALL( IF( PROCESSING!$D$4:$I$15 = $F$2, ROW(PROCESSING!$B$4:$B$15)-ROW(PROCESSING!$B$4)+1 ),  ROWS(PROCESSING!$B$4:$B30))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30" s="56" t="str">
        <f>IFERROR(VLOOKUP(A30,PROCESSING!$B:$I,9,0), "")</f>
        <v/>
      </c>
      <c r="C30" s="63"/>
      <c r="D30" s="63"/>
      <c r="E30" s="64"/>
      <c r="F30" s="56" t="str">
        <f>IFERROR( IF($F$2 &lt;&gt; "", INDEX(PROCESSING!$B$4:$B$15,  SMALL( IF( PROCESSING!$D$4:$I$15 = $F$2, ROW(PROCESSING!$B$4:$B$15)-ROW(PROCESSING!$B$4)+1 ),  ROWS(PROCESSING!$B$4:$B30)) ),""), "")</f>
        <v/>
      </c>
      <c r="G30" s="56" t="str">
        <f>IFERROR(VLOOKUP(F30,PROCESSING!$B:$I,9,0), "")</f>
        <v/>
      </c>
      <c r="H30" s="63"/>
      <c r="I30" s="63"/>
      <c r="J30" s="64"/>
      <c r="K30" s="56" t="str">
        <f t="array" ref="K30">IFERROR( IF($K$2 &lt;&gt; "", INDEX(PROCESSING!$B$4:$B$15,  SMALL( IF( PROCESSING!$D$4:$I$13 = $K$2, ROW(PROCESSING!$B$4:$B$15)-ROW(PROCESSING!$B$4)+1 ),  ROWS(PROCESSING!$B$4:$B30)) ),""), "")</f>
        <v/>
      </c>
      <c r="L30" s="56" t="str">
        <f>IFERROR(VLOOKUP(K30,PROCESSING!$B:$I,9,0), "")</f>
        <v/>
      </c>
      <c r="M30" s="63"/>
      <c r="N30" s="63"/>
      <c r="O30" s="64"/>
      <c r="P30" s="56" t="str">
        <f t="array" ref="P30">IFERROR( IF($P$2 &lt;&gt; "", INDEX(PROCESSING!$B$4:$B$15,  SMALL( IF( PROCESSING!$D$4:$I$15 = $P$2, ROW(PROCESSING!$B$4:$B$15)-ROW(PROCESSING!$B$4)+1 ),  ROWS(PROCESSING!$B$4:$B30)) ),""), "")</f>
        <v/>
      </c>
      <c r="Q30" s="56" t="str">
        <f>IFERROR(VLOOKUP(P30,PROCESSING!$B:$I,9,0), "")</f>
        <v/>
      </c>
      <c r="R30" s="63"/>
      <c r="S30" s="63"/>
      <c r="T30" s="64"/>
      <c r="U30" s="56" t="str">
        <f t="array" ref="U30">IFERROR( IF($U$2 &lt;&gt; "", INDEX(PROCESSING!$B$4:$B$15,  SMALL( IF( PROCESSING!$D$4:$I$15 = $U$2, ROW(PROCESSING!$B$4:$B$15)-ROW(PROCESSING!$B$4)+1 ),  ROWS(PROCESSING!$B$4:$B30)) ),""), "")</f>
        <v/>
      </c>
      <c r="V30" s="56" t="str">
        <f>IFERROR(VLOOKUP(U30,PROCESSING!$B:$I,9,0), "")</f>
        <v/>
      </c>
      <c r="W30" s="63"/>
      <c r="X30" s="63"/>
      <c r="Y30" s="64"/>
      <c r="Z30" s="56" t="str">
        <f t="array" ref="Z30">IFERROR( IF($Z$2 &lt;&gt; "", INDEX(PROCESSING!$B$4:$B$15,  SMALL( IF( PROCESSING!$D$4:$I$15 = $Z$2, ROW(PROCESSING!$B$4:$B$15)-ROW(PROCESSING!$B$4)+1 ),  ROWS(PROCESSING!$B$4:$B30)) ),""), "")</f>
        <v/>
      </c>
      <c r="AA30" s="56" t="str">
        <f>IFERROR(VLOOKUP(Z30,PROCESSING!$B:$I,9,0), "")</f>
        <v/>
      </c>
      <c r="AB30" s="63"/>
      <c r="AC30" s="63"/>
      <c r="AD30" s="64"/>
      <c r="AE30" s="65"/>
      <c r="AF30" s="65"/>
      <c r="AG30" s="65"/>
      <c r="AH30" s="65"/>
      <c r="AI30" s="65"/>
      <c r="AJ30" s="65"/>
      <c r="AK30" s="65"/>
      <c r="AL30" s="65"/>
      <c r="AM30" s="65"/>
      <c r="AN30" s="65"/>
      <c r="AO30" s="65"/>
    </row>
    <row r="31" spans="1:41" ht="78.75" x14ac:dyDescent="0.25">
      <c r="A31" s="56" t="str">
        <f t="array" ref="A31">IFERROR( IF($A$2 &lt;&gt; "", INDEX(PROCESSING!$B$4:$B$15,  SMALL( IF( PROCESSING!$D$4:$I$15 = $F$2, ROW(PROCESSING!$B$4:$B$15)-ROW(PROCESSING!$B$4)+1 ),  ROWS(PROCESSING!$B$4:$B31))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31" s="56" t="str">
        <f>IFERROR(VLOOKUP(A31,PROCESSING!$B:$I,9,0), "")</f>
        <v/>
      </c>
      <c r="C31" s="63"/>
      <c r="D31" s="63"/>
      <c r="E31" s="64"/>
      <c r="F31" s="56" t="str">
        <f>IFERROR( IF($F$2 &lt;&gt; "", INDEX(PROCESSING!$B$4:$B$15,  SMALL( IF( PROCESSING!$D$4:$I$15 = $F$2, ROW(PROCESSING!$B$4:$B$15)-ROW(PROCESSING!$B$4)+1 ),  ROWS(PROCESSING!$B$4:$B31)) ),""), "")</f>
        <v/>
      </c>
      <c r="G31" s="56" t="str">
        <f>IFERROR(VLOOKUP(F31,PROCESSING!$B:$I,9,0), "")</f>
        <v/>
      </c>
      <c r="H31" s="63"/>
      <c r="I31" s="63"/>
      <c r="J31" s="64"/>
      <c r="K31" s="56" t="str">
        <f t="array" ref="K31">IFERROR( IF($K$2 &lt;&gt; "", INDEX(PROCESSING!$B$4:$B$15,  SMALL( IF( PROCESSING!$D$4:$I$13 = $K$2, ROW(PROCESSING!$B$4:$B$15)-ROW(PROCESSING!$B$4)+1 ),  ROWS(PROCESSING!$B$4:$B31)) ),""), "")</f>
        <v/>
      </c>
      <c r="L31" s="56" t="str">
        <f>IFERROR(VLOOKUP(K31,PROCESSING!$B:$I,9,0), "")</f>
        <v/>
      </c>
      <c r="M31" s="63"/>
      <c r="N31" s="63"/>
      <c r="O31" s="64"/>
      <c r="P31" s="56" t="str">
        <f t="array" ref="P31">IFERROR( IF($P$2 &lt;&gt; "", INDEX(PROCESSING!$B$4:$B$15,  SMALL( IF( PROCESSING!$D$4:$I$15 = $P$2, ROW(PROCESSING!$B$4:$B$15)-ROW(PROCESSING!$B$4)+1 ),  ROWS(PROCESSING!$B$4:$B31)) ),""), "")</f>
        <v/>
      </c>
      <c r="Q31" s="56" t="str">
        <f>IFERROR(VLOOKUP(P31,PROCESSING!$B:$I,9,0), "")</f>
        <v/>
      </c>
      <c r="R31" s="63"/>
      <c r="S31" s="63"/>
      <c r="T31" s="64"/>
      <c r="U31" s="56" t="str">
        <f t="array" ref="U31">IFERROR( IF($U$2 &lt;&gt; "", INDEX(PROCESSING!$B$4:$B$15,  SMALL( IF( PROCESSING!$D$4:$I$15 = $U$2, ROW(PROCESSING!$B$4:$B$15)-ROW(PROCESSING!$B$4)+1 ),  ROWS(PROCESSING!$B$4:$B31)) ),""), "")</f>
        <v/>
      </c>
      <c r="V31" s="56" t="str">
        <f>IFERROR(VLOOKUP(U31,PROCESSING!$B:$I,9,0), "")</f>
        <v/>
      </c>
      <c r="W31" s="63"/>
      <c r="X31" s="63"/>
      <c r="Y31" s="64"/>
      <c r="Z31" s="56" t="str">
        <f t="array" ref="Z31">IFERROR( IF($Z$2 &lt;&gt; "", INDEX(PROCESSING!$B$4:$B$15,  SMALL( IF( PROCESSING!$D$4:$I$15 = $Z$2, ROW(PROCESSING!$B$4:$B$15)-ROW(PROCESSING!$B$4)+1 ),  ROWS(PROCESSING!$B$4:$B31)) ),""), "")</f>
        <v/>
      </c>
      <c r="AA31" s="56" t="str">
        <f>IFERROR(VLOOKUP(Z31,PROCESSING!$B:$I,9,0), "")</f>
        <v/>
      </c>
      <c r="AB31" s="63"/>
      <c r="AC31" s="63"/>
      <c r="AD31" s="58"/>
      <c r="AE31" s="59"/>
      <c r="AF31" s="59"/>
      <c r="AG31" s="59"/>
      <c r="AH31" s="59"/>
      <c r="AI31" s="59"/>
      <c r="AJ31" s="59"/>
      <c r="AK31" s="59"/>
      <c r="AL31" s="59"/>
      <c r="AM31" s="59"/>
      <c r="AN31" s="59"/>
      <c r="AO31" s="59"/>
    </row>
    <row r="32" spans="1:41" ht="78.75" x14ac:dyDescent="0.25">
      <c r="A32" s="56" t="str">
        <f t="array" ref="A32">IFERROR( IF($A$2 &lt;&gt; "", INDEX(PROCESSING!$B$4:$B$15,  SMALL( IF( PROCESSING!$D$4:$I$15 = $F$2, ROW(PROCESSING!$B$4:$B$15)-ROW(PROCESSING!$B$4)+1 ),  ROWS(PROCESSING!$B$4:$B32))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32" s="56" t="str">
        <f>IFERROR(VLOOKUP(A32,PROCESSING!$B:$I,9,0), "")</f>
        <v/>
      </c>
      <c r="C32" s="63"/>
      <c r="D32" s="63"/>
      <c r="E32" s="64"/>
      <c r="F32" s="56" t="str">
        <f>IFERROR( IF($F$2 &lt;&gt; "", INDEX(PROCESSING!$B$4:$B$15,  SMALL( IF( PROCESSING!$D$4:$I$15 = $F$2, ROW(PROCESSING!$B$4:$B$15)-ROW(PROCESSING!$B$4)+1 ),  ROWS(PROCESSING!$B$4:$B32)) ),""), "")</f>
        <v/>
      </c>
      <c r="G32" s="56" t="str">
        <f>IFERROR(VLOOKUP(F32,PROCESSING!$B:$I,9,0), "")</f>
        <v/>
      </c>
      <c r="H32" s="63"/>
      <c r="I32" s="63"/>
      <c r="J32" s="64"/>
      <c r="K32" s="56" t="str">
        <f t="array" ref="K32">IFERROR( IF($K$2 &lt;&gt; "", INDEX(PROCESSING!$B$4:$B$15,  SMALL( IF( PROCESSING!$D$4:$I$13 = $K$2, ROW(PROCESSING!$B$4:$B$15)-ROW(PROCESSING!$B$4)+1 ),  ROWS(PROCESSING!$B$4:$B32)) ),""), "")</f>
        <v/>
      </c>
      <c r="L32" s="56" t="str">
        <f>IFERROR(VLOOKUP(K32,PROCESSING!$B:$I,9,0), "")</f>
        <v/>
      </c>
      <c r="M32" s="63"/>
      <c r="N32" s="63"/>
      <c r="O32" s="64"/>
      <c r="P32" s="56" t="str">
        <f t="array" ref="P32">IFERROR( IF($P$2 &lt;&gt; "", INDEX(PROCESSING!$B$4:$B$15,  SMALL( IF( PROCESSING!$D$4:$I$15 = $P$2, ROW(PROCESSING!$B$4:$B$15)-ROW(PROCESSING!$B$4)+1 ),  ROWS(PROCESSING!$B$4:$B32)) ),""), "")</f>
        <v/>
      </c>
      <c r="Q32" s="56" t="str">
        <f>IFERROR(VLOOKUP(P32,PROCESSING!$B:$I,9,0), "")</f>
        <v/>
      </c>
      <c r="R32" s="63"/>
      <c r="S32" s="63"/>
      <c r="T32" s="64"/>
      <c r="U32" s="56" t="str">
        <f t="array" ref="U32">IFERROR( IF($U$2 &lt;&gt; "", INDEX(PROCESSING!$B$4:$B$15,  SMALL( IF( PROCESSING!$D$4:$I$15 = $U$2, ROW(PROCESSING!$B$4:$B$15)-ROW(PROCESSING!$B$4)+1 ),  ROWS(PROCESSING!$B$4:$B32)) ),""), "")</f>
        <v/>
      </c>
      <c r="V32" s="56" t="str">
        <f>IFERROR(VLOOKUP(U32,PROCESSING!$B:$I,9,0), "")</f>
        <v/>
      </c>
      <c r="W32" s="63"/>
      <c r="X32" s="63"/>
      <c r="Y32" s="64"/>
      <c r="Z32" s="56" t="str">
        <f t="array" ref="Z32">IFERROR( IF($Z$2 &lt;&gt; "", INDEX(PROCESSING!$B$4:$B$15,  SMALL( IF( PROCESSING!$D$4:$I$15 = $Z$2, ROW(PROCESSING!$B$4:$B$15)-ROW(PROCESSING!$B$4)+1 ),  ROWS(PROCESSING!$B$4:$B32)) ),""), "")</f>
        <v/>
      </c>
      <c r="AA32" s="56" t="str">
        <f>IFERROR(VLOOKUP(Z32,PROCESSING!$B:$I,9,0), "")</f>
        <v/>
      </c>
      <c r="AB32" s="63"/>
      <c r="AC32" s="63"/>
      <c r="AD32" s="58"/>
      <c r="AE32" s="59"/>
      <c r="AF32" s="59"/>
      <c r="AG32" s="59"/>
      <c r="AH32" s="59"/>
      <c r="AI32" s="59"/>
      <c r="AJ32" s="59"/>
      <c r="AK32" s="59"/>
      <c r="AL32" s="59"/>
      <c r="AM32" s="59"/>
      <c r="AN32" s="59"/>
      <c r="AO32" s="59"/>
    </row>
    <row r="33" spans="1:41" ht="78.75" x14ac:dyDescent="0.25">
      <c r="A33" s="56" t="str">
        <f t="array" ref="A33">IFERROR( IF($A$2 &lt;&gt; "", INDEX(PROCESSING!$B$4:$B$15,  SMALL( IF( PROCESSING!$D$4:$I$15 = $F$2, ROW(PROCESSING!$B$4:$B$15)-ROW(PROCESSING!$B$4)+1 ),  ROWS(PROCESSING!$B$4:$B33)) ),""), "")</f>
        <v>3) FOR USDA FOODS ONLY: Is the SFA compliant with ensuring the value pass-through method in the solicitation and contract match?  (NOTE:  Q assumes the SFA is procuring commodity processed end products and commercial purchases from a distributor in the same solicitation)  (NOTE:  NO is a finding.)</v>
      </c>
      <c r="B33" s="56" t="str">
        <f>IFERROR(VLOOKUP(A33,PROCESSING!$B:$I,9,0), "")</f>
        <v/>
      </c>
      <c r="C33" s="63"/>
      <c r="D33" s="63"/>
      <c r="E33" s="64"/>
      <c r="F33" s="56" t="str">
        <f>IFERROR( IF($F$2 &lt;&gt; "", INDEX(PROCESSING!$B$4:$B$15,  SMALL( IF( PROCESSING!$D$4:$I$15 = $F$2, ROW(PROCESSING!$B$4:$B$15)-ROW(PROCESSING!$B$4)+1 ),  ROWS(PROCESSING!$B$4:$B33)) ),""), "")</f>
        <v/>
      </c>
      <c r="G33" s="56" t="str">
        <f>IFERROR(VLOOKUP(F33,PROCESSING!$B:$I,9,0), "")</f>
        <v/>
      </c>
      <c r="H33" s="63"/>
      <c r="I33" s="63"/>
      <c r="J33" s="64"/>
      <c r="K33" s="56" t="str">
        <f t="array" ref="K33">IFERROR( IF($K$2 &lt;&gt; "", INDEX(PROCESSING!$B$4:$B$15,  SMALL( IF( PROCESSING!$D$4:$I$13 = $K$2, ROW(PROCESSING!$B$4:$B$15)-ROW(PROCESSING!$B$4)+1 ),  ROWS(PROCESSING!$B$4:$B33)) ),""), "")</f>
        <v/>
      </c>
      <c r="L33" s="56" t="str">
        <f>IFERROR(VLOOKUP(K33,PROCESSING!$B:$I,9,0), "")</f>
        <v/>
      </c>
      <c r="M33" s="63"/>
      <c r="N33" s="63"/>
      <c r="O33" s="64"/>
      <c r="P33" s="56" t="str">
        <f t="array" ref="P33">IFERROR( IF($P$2 &lt;&gt; "", INDEX(PROCESSING!$B$4:$B$15,  SMALL( IF( PROCESSING!$D$4:$I$15 = $P$2, ROW(PROCESSING!$B$4:$B$15)-ROW(PROCESSING!$B$4)+1 ),  ROWS(PROCESSING!$B$4:$B33)) ),""), "")</f>
        <v/>
      </c>
      <c r="Q33" s="56" t="str">
        <f>IFERROR(VLOOKUP(P33,PROCESSING!$B:$I,9,0), "")</f>
        <v/>
      </c>
      <c r="R33" s="63"/>
      <c r="S33" s="63"/>
      <c r="T33" s="64"/>
      <c r="U33" s="56" t="str">
        <f t="array" ref="U33">IFERROR( IF($U$2 &lt;&gt; "", INDEX(PROCESSING!$B$4:$B$15,  SMALL( IF( PROCESSING!$D$4:$I$15 = $U$2, ROW(PROCESSING!$B$4:$B$15)-ROW(PROCESSING!$B$4)+1 ),  ROWS(PROCESSING!$B$4:$B33)) ),""), "")</f>
        <v/>
      </c>
      <c r="V33" s="56" t="str">
        <f>IFERROR(VLOOKUP(U33,PROCESSING!$B:$I,9,0), "")</f>
        <v/>
      </c>
      <c r="W33" s="63"/>
      <c r="X33" s="63"/>
      <c r="Y33" s="64"/>
      <c r="Z33" s="56" t="str">
        <f t="array" ref="Z33">IFERROR( IF($Z$2 &lt;&gt; "", INDEX(PROCESSING!$B$4:$B$15,  SMALL( IF( PROCESSING!$D$4:$I$15 = $Z$2, ROW(PROCESSING!$B$4:$B$15)-ROW(PROCESSING!$B$4)+1 ),  ROWS(PROCESSING!$B$4:$B33)) ),""), "")</f>
        <v/>
      </c>
      <c r="AA33" s="56" t="str">
        <f>IFERROR(VLOOKUP(Z33,PROCESSING!$B:$I,9,0), "")</f>
        <v/>
      </c>
      <c r="AB33" s="63"/>
      <c r="AC33" s="63"/>
      <c r="AD33" s="58"/>
      <c r="AE33" s="59"/>
      <c r="AF33" s="59"/>
      <c r="AG33" s="59"/>
      <c r="AH33" s="59"/>
      <c r="AI33" s="59"/>
      <c r="AJ33" s="59"/>
      <c r="AK33" s="59"/>
      <c r="AL33" s="59"/>
      <c r="AM33" s="59"/>
      <c r="AN33" s="59"/>
      <c r="AO33" s="59"/>
    </row>
    <row r="34" spans="1:41" x14ac:dyDescent="0.2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9"/>
      <c r="AF34" s="59"/>
      <c r="AG34" s="59"/>
      <c r="AH34" s="59"/>
      <c r="AI34" s="59"/>
      <c r="AJ34" s="59"/>
      <c r="AK34" s="59"/>
      <c r="AL34" s="59"/>
      <c r="AM34" s="59"/>
      <c r="AN34" s="59"/>
      <c r="AO34" s="59"/>
    </row>
    <row r="35" spans="1:41"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9"/>
      <c r="AF35" s="59"/>
      <c r="AG35" s="59"/>
      <c r="AH35" s="59"/>
      <c r="AI35" s="59"/>
      <c r="AJ35" s="59"/>
      <c r="AK35" s="59"/>
      <c r="AL35" s="59"/>
      <c r="AM35" s="59"/>
      <c r="AN35" s="59"/>
      <c r="AO35" s="59"/>
    </row>
    <row r="36" spans="1:41"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9"/>
      <c r="AF36" s="59"/>
      <c r="AG36" s="59"/>
      <c r="AH36" s="59"/>
      <c r="AI36" s="59"/>
      <c r="AJ36" s="59"/>
      <c r="AK36" s="59"/>
      <c r="AL36" s="59"/>
      <c r="AM36" s="59"/>
      <c r="AN36" s="59"/>
      <c r="AO36" s="59"/>
    </row>
    <row r="37" spans="1:41"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9"/>
      <c r="AF37" s="59"/>
      <c r="AG37" s="59"/>
      <c r="AH37" s="59"/>
      <c r="AI37" s="59"/>
      <c r="AJ37" s="59"/>
      <c r="AK37" s="59"/>
      <c r="AL37" s="59"/>
      <c r="AM37" s="59"/>
      <c r="AN37" s="59"/>
      <c r="AO37" s="59"/>
    </row>
    <row r="38" spans="1:41"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9"/>
      <c r="AF38" s="59"/>
      <c r="AG38" s="59"/>
      <c r="AH38" s="59"/>
      <c r="AI38" s="59"/>
      <c r="AJ38" s="59"/>
      <c r="AK38" s="59"/>
      <c r="AL38" s="59"/>
      <c r="AM38" s="59"/>
      <c r="AN38" s="59"/>
      <c r="AO38" s="59"/>
    </row>
    <row r="39" spans="1:41"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9"/>
      <c r="AF39" s="59"/>
      <c r="AG39" s="59"/>
      <c r="AH39" s="59"/>
      <c r="AI39" s="59"/>
      <c r="AJ39" s="59"/>
      <c r="AK39" s="59"/>
      <c r="AL39" s="59"/>
      <c r="AM39" s="59"/>
      <c r="AN39" s="59"/>
      <c r="AO39" s="59"/>
    </row>
    <row r="40" spans="1:41"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9"/>
      <c r="AF40" s="59"/>
      <c r="AG40" s="59"/>
      <c r="AH40" s="59"/>
      <c r="AI40" s="59"/>
      <c r="AJ40" s="59"/>
      <c r="AK40" s="59"/>
      <c r="AL40" s="59"/>
      <c r="AM40" s="59"/>
      <c r="AN40" s="59"/>
      <c r="AO40" s="59"/>
    </row>
    <row r="41" spans="1:41"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9"/>
      <c r="AF41" s="59"/>
      <c r="AG41" s="59"/>
      <c r="AH41" s="59"/>
      <c r="AI41" s="59"/>
      <c r="AJ41" s="59"/>
      <c r="AK41" s="59"/>
      <c r="AL41" s="59"/>
      <c r="AM41" s="59"/>
      <c r="AN41" s="59"/>
      <c r="AO41" s="59"/>
    </row>
    <row r="42" spans="1:41" x14ac:dyDescent="0.2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9"/>
      <c r="AF42" s="59"/>
      <c r="AG42" s="59"/>
      <c r="AH42" s="59"/>
      <c r="AI42" s="59"/>
      <c r="AJ42" s="59"/>
      <c r="AK42" s="59"/>
      <c r="AL42" s="59"/>
      <c r="AM42" s="59"/>
      <c r="AN42" s="59"/>
      <c r="AO42" s="59"/>
    </row>
    <row r="43" spans="1:41" x14ac:dyDescent="0.2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9"/>
      <c r="AF43" s="59"/>
      <c r="AG43" s="59"/>
      <c r="AH43" s="59"/>
      <c r="AI43" s="59"/>
      <c r="AJ43" s="59"/>
      <c r="AK43" s="59"/>
      <c r="AL43" s="59"/>
      <c r="AM43" s="59"/>
      <c r="AN43" s="59"/>
      <c r="AO43" s="59"/>
    </row>
    <row r="44" spans="1:41"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9"/>
      <c r="AF44" s="59"/>
      <c r="AG44" s="59"/>
      <c r="AH44" s="59"/>
      <c r="AI44" s="59"/>
      <c r="AJ44" s="59"/>
      <c r="AK44" s="59"/>
      <c r="AL44" s="59"/>
      <c r="AM44" s="59"/>
      <c r="AN44" s="59"/>
      <c r="AO44" s="59"/>
    </row>
    <row r="45" spans="1:41"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9"/>
      <c r="AF45" s="59"/>
      <c r="AG45" s="59"/>
      <c r="AH45" s="59"/>
      <c r="AI45" s="59"/>
      <c r="AJ45" s="59"/>
      <c r="AK45" s="59"/>
      <c r="AL45" s="59"/>
      <c r="AM45" s="59"/>
      <c r="AN45" s="59"/>
      <c r="AO45" s="59"/>
    </row>
    <row r="46" spans="1:41"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row>
    <row r="47" spans="1:41"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row>
    <row r="48" spans="1:41"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row>
    <row r="49" spans="1:41"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row>
    <row r="50" spans="1:41"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row>
    <row r="51" spans="1:41"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row>
    <row r="52" spans="1:41"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row>
    <row r="53" spans="1:41"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row>
    <row r="54" spans="1:41"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row>
    <row r="55" spans="1:41"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row>
    <row r="56" spans="1:4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row>
    <row r="57" spans="1:41"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row>
    <row r="58" spans="1:41"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row>
    <row r="59" spans="1:41"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row>
    <row r="60" spans="1:4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row>
    <row r="61" spans="1:41"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row>
    <row r="62" spans="1:4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row>
  </sheetData>
  <mergeCells count="7">
    <mergeCell ref="A1:AD1"/>
    <mergeCell ref="A2:D2"/>
    <mergeCell ref="Z2:AC2"/>
    <mergeCell ref="U2:X2"/>
    <mergeCell ref="P2:S2"/>
    <mergeCell ref="K2:N2"/>
    <mergeCell ref="F2:I2"/>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AL60"/>
  <sheetViews>
    <sheetView topLeftCell="V1" zoomScale="70" zoomScaleNormal="70" workbookViewId="0">
      <selection activeCell="Z4" sqref="Z4"/>
    </sheetView>
  </sheetViews>
  <sheetFormatPr defaultColWidth="25.5703125" defaultRowHeight="15" x14ac:dyDescent="0.25"/>
  <cols>
    <col min="1" max="1" width="66.28515625" style="60" customWidth="1"/>
    <col min="2" max="2" width="35.5703125" style="60" bestFit="1" customWidth="1"/>
    <col min="3" max="4" width="35.5703125" style="60" customWidth="1"/>
    <col min="5" max="5" width="5.5703125" style="60" customWidth="1"/>
    <col min="6" max="6" width="66.28515625" style="60" customWidth="1"/>
    <col min="7" max="7" width="35.5703125" style="60" bestFit="1" customWidth="1"/>
    <col min="8" max="9" width="35.5703125" style="60" customWidth="1"/>
    <col min="10" max="10" width="5.5703125" style="60" customWidth="1"/>
    <col min="11" max="11" width="66.28515625" style="60" customWidth="1"/>
    <col min="12" max="12" width="35.5703125" style="60" bestFit="1" customWidth="1"/>
    <col min="13" max="14" width="35.5703125" style="60" customWidth="1"/>
    <col min="15" max="15" width="5.5703125" style="60" customWidth="1"/>
    <col min="16" max="16" width="66.28515625" style="60" customWidth="1"/>
    <col min="17" max="17" width="35.5703125" style="60" bestFit="1" customWidth="1"/>
    <col min="18" max="19" width="35.5703125" style="60" customWidth="1"/>
    <col min="20" max="20" width="5.5703125" style="60" customWidth="1"/>
    <col min="21" max="21" width="66.28515625" style="60" customWidth="1"/>
    <col min="22" max="24" width="36.7109375" style="60" customWidth="1"/>
    <col min="25" max="25" width="12.7109375" style="60" customWidth="1"/>
    <col min="26" max="26" width="66.28515625" style="60" customWidth="1"/>
    <col min="27" max="29" width="36.7109375" style="59" customWidth="1"/>
    <col min="30" max="38" width="25.5703125" style="59"/>
    <col min="39" max="16384" width="25.5703125" style="60"/>
  </cols>
  <sheetData>
    <row r="1" spans="1:38" ht="46.5" x14ac:dyDescent="0.25">
      <c r="A1" s="766" t="str">
        <f>'SFA PROCUREMENT TABLE'!$A$1:$D$1&amp;" - "&amp;"FSMC Renewal Findings"</f>
        <v xml:space="preserve"> - FSMC Renewal Findings</v>
      </c>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row>
    <row r="2" spans="1:38" ht="26.25" x14ac:dyDescent="0.25">
      <c r="A2" s="776">
        <f t="array" ref="A2">IFERROR( INDEX('SFA PROCUREMENT TABLE'!$A$95:$A$101,  SMALL( IF('SFA PROCUREMENT TABLE'!$K$95:$K$101 = "Select for Review", ROW('SFA PROCUREMENT TABLE'!$A$95:$A$101)-ROW('SFA PROCUREMENT TABLE'!$A$95)+1 ),  ROWS('SFA PROCUREMENT TABLE'!$A$95:'SFA PROCUREMENT TABLE'!$E95)) ),"")</f>
        <v>0</v>
      </c>
      <c r="B2" s="777"/>
      <c r="C2" s="777"/>
      <c r="D2" s="778"/>
      <c r="E2" s="58"/>
      <c r="F2" s="776" t="str">
        <f t="array" ref="F2">IFERROR( INDEX('SFA PROCUREMENT TABLE'!$A$95:$A$101,  SMALL( IF('SFA PROCUREMENT TABLE'!$K$95:$K$101 = "Select for Review", ROW('SFA PROCUREMENT TABLE'!$A$95:$A$101)-ROW('SFA PROCUREMENT TABLE'!$A$95)+1 ),  ROWS('SFA PROCUREMENT TABLE'!$A$95:'SFA PROCUREMENT TABLE'!$E96)) ),"")</f>
        <v/>
      </c>
      <c r="G2" s="777"/>
      <c r="H2" s="777"/>
      <c r="I2" s="778"/>
      <c r="J2" s="58"/>
      <c r="K2" s="776" t="str">
        <f t="array" ref="K2">IFERROR( INDEX('SFA PROCUREMENT TABLE'!$A$95:$A$101,  SMALL( IF('SFA PROCUREMENT TABLE'!$K$95:$K$101 = "Select for Review", ROW('SFA PROCUREMENT TABLE'!$A$95:$A$101)-ROW('SFA PROCUREMENT TABLE'!$A$95)+1 ),  ROWS('SFA PROCUREMENT TABLE'!$A$95:'SFA PROCUREMENT TABLE'!$E97)) ),"")</f>
        <v/>
      </c>
      <c r="L2" s="777"/>
      <c r="M2" s="777"/>
      <c r="N2" s="778"/>
      <c r="O2" s="58"/>
      <c r="P2" s="776" t="str">
        <f t="array" ref="P2">IFERROR( INDEX('SFA PROCUREMENT TABLE'!$A$95:$A$101,  SMALL( IF('SFA PROCUREMENT TABLE'!$K$95:$K$101 = "Select for Review", ROW('SFA PROCUREMENT TABLE'!$A$95:$A$101)-ROW('SFA PROCUREMENT TABLE'!$A$95)+1 ),  ROWS('SFA PROCUREMENT TABLE'!$A$95:'SFA PROCUREMENT TABLE'!$E98)) ),"")</f>
        <v/>
      </c>
      <c r="Q2" s="777"/>
      <c r="R2" s="777"/>
      <c r="S2" s="778"/>
      <c r="T2" s="58"/>
      <c r="U2" s="776" t="str">
        <f t="array" ref="U2">IFERROR( INDEX('SFA PROCUREMENT TABLE'!$A$95:$A$101,  SMALL( IF('SFA PROCUREMENT TABLE'!$K$95:$K$101 = "Select for Review", ROW('SFA PROCUREMENT TABLE'!$A$95:$A$101)-ROW('SFA PROCUREMENT TABLE'!$A$95)+1 ),  ROWS('SFA PROCUREMENT TABLE'!$A$95:'SFA PROCUREMENT TABLE'!$E99)) ),"")</f>
        <v/>
      </c>
      <c r="V2" s="777"/>
      <c r="W2" s="777"/>
      <c r="X2" s="778"/>
      <c r="Y2" s="58"/>
      <c r="Z2" s="776" t="str">
        <f t="array" ref="Z2">IFERROR( INDEX('SFA PROCUREMENT TABLE'!$A$95:$A$101,  SMALL( IF('SFA PROCUREMENT TABLE'!$K$95:$K$101 = "Select for Review", ROW('SFA PROCUREMENT TABLE'!$A$95:$A$101)-ROW('SFA PROCUREMENT TABLE'!$A$95)+1 ),  ROWS('SFA PROCUREMENT TABLE'!$A$95:'SFA PROCUREMENT TABLE'!$E100)) ),"")</f>
        <v/>
      </c>
      <c r="AA2" s="777"/>
      <c r="AB2" s="777"/>
      <c r="AC2" s="778"/>
      <c r="AD2" s="58"/>
    </row>
    <row r="3" spans="1:38" s="74" customFormat="1" ht="18.75" x14ac:dyDescent="0.25">
      <c r="A3" s="87" t="s">
        <v>39</v>
      </c>
      <c r="B3" s="87" t="s">
        <v>38</v>
      </c>
      <c r="C3" s="61" t="s">
        <v>231</v>
      </c>
      <c r="D3" s="61" t="s">
        <v>232</v>
      </c>
      <c r="E3" s="72"/>
      <c r="F3" s="87" t="s">
        <v>39</v>
      </c>
      <c r="G3" s="87" t="s">
        <v>38</v>
      </c>
      <c r="H3" s="61" t="s">
        <v>231</v>
      </c>
      <c r="I3" s="61" t="s">
        <v>232</v>
      </c>
      <c r="J3" s="72"/>
      <c r="K3" s="87" t="s">
        <v>39</v>
      </c>
      <c r="L3" s="87" t="s">
        <v>38</v>
      </c>
      <c r="M3" s="61" t="s">
        <v>231</v>
      </c>
      <c r="N3" s="61" t="s">
        <v>232</v>
      </c>
      <c r="O3" s="72"/>
      <c r="P3" s="87" t="s">
        <v>39</v>
      </c>
      <c r="Q3" s="87" t="s">
        <v>38</v>
      </c>
      <c r="R3" s="61" t="s">
        <v>231</v>
      </c>
      <c r="S3" s="61" t="s">
        <v>232</v>
      </c>
      <c r="T3" s="72"/>
      <c r="U3" s="87" t="s">
        <v>39</v>
      </c>
      <c r="V3" s="87" t="s">
        <v>38</v>
      </c>
      <c r="W3" s="61" t="s">
        <v>231</v>
      </c>
      <c r="X3" s="61" t="s">
        <v>232</v>
      </c>
      <c r="Y3" s="72"/>
      <c r="Z3" s="87" t="s">
        <v>39</v>
      </c>
      <c r="AA3" s="87" t="s">
        <v>38</v>
      </c>
      <c r="AB3" s="61" t="s">
        <v>231</v>
      </c>
      <c r="AC3" s="61" t="s">
        <v>232</v>
      </c>
      <c r="AD3" s="72"/>
      <c r="AE3" s="73"/>
      <c r="AF3" s="73"/>
      <c r="AG3" s="73"/>
      <c r="AH3" s="73"/>
      <c r="AI3" s="73"/>
      <c r="AJ3" s="73"/>
      <c r="AK3" s="73"/>
      <c r="AL3" s="73"/>
    </row>
    <row r="4" spans="1:38" s="66" customFormat="1" ht="31.5" x14ac:dyDescent="0.25">
      <c r="A4" s="56" t="str">
        <f t="array" ref="A4">IFERROR(IF($A$2 &lt;&gt; "", INDEX('FOOD SVC MANAGEMENT COMPANIES'!$B$6:$B$33,  SMALL( IF( 'FOOD SVC MANAGEMENT COMPANIES'!$D$6:$H$33 = $A$2, ROW('FOOD SVC MANAGEMENT COMPANIES'!$B$6:$B$33)-ROW('FOOD SVC MANAGEMENT COMPANIES'!$B$6)+1 ),  ROWS('FOOD SVC MANAGEMENT COMPANIES'!$B$6:$B6)) ),""), "")</f>
        <v>1) Were amendments made to the contract without State agency prior approval?</v>
      </c>
      <c r="B4" s="56" t="str">
        <f>IFERROR(VLOOKUP(A4,'FOOD SVC MANAGEMENT COMPANIES'!$B:$H,9,0),"")</f>
        <v/>
      </c>
      <c r="C4" s="63"/>
      <c r="D4" s="63"/>
      <c r="E4" s="64"/>
      <c r="F4" s="56" t="str">
        <f t="array" ref="F4">IFERROR(IF($F$2 &lt;&gt; "", INDEX('FOOD SVC MANAGEMENT COMPANIES'!$B$6:$B$33,  SMALL( IF( 'FOOD SVC MANAGEMENT COMPANIES'!$D$6:$H$33 = $F$2, ROW('FOOD SVC MANAGEMENT COMPANIES'!$B$6:$B$33)-ROW('FOOD SVC MANAGEMENT COMPANIES'!$B$6)+1 ),  ROWS('FOOD SVC MANAGEMENT COMPANIES'!$B$6:$B6)) ),""), "")</f>
        <v/>
      </c>
      <c r="G4" s="56" t="str">
        <f>IFERROR(VLOOKUP(F4,'FOOD SVC MANAGEMENT COMPANIES'!$B:$H,9,0),"")</f>
        <v/>
      </c>
      <c r="H4" s="63"/>
      <c r="I4" s="63"/>
      <c r="J4" s="64"/>
      <c r="K4" s="56" t="str">
        <f t="array" ref="K4">IFERROR(IF($K$2 &lt;&gt; "", INDEX('FOOD SVC MANAGEMENT COMPANIES'!$B$6:$B$33,  SMALL( IF( 'FOOD SVC MANAGEMENT COMPANIES'!$D$6:$H$33 = $K$2, ROW('FOOD SVC MANAGEMENT COMPANIES'!$B$6:$B$33)-ROW('FOOD SVC MANAGEMENT COMPANIES'!$B$6)+1 ),  ROWS('FOOD SVC MANAGEMENT COMPANIES'!$B$6:$B6)) ),""), "")</f>
        <v/>
      </c>
      <c r="L4" s="56" t="str">
        <f>IFERROR(VLOOKUP(K4,'FOOD SVC MANAGEMENT COMPANIES'!$B:$H,9,0),"")</f>
        <v/>
      </c>
      <c r="M4" s="63"/>
      <c r="N4" s="63"/>
      <c r="O4" s="64"/>
      <c r="P4" s="56" t="str">
        <f t="array" ref="P4">IFERROR(IF($P$2 &lt;&gt; "", INDEX('FOOD SVC MANAGEMENT COMPANIES'!$B$6:$B$33,  SMALL( IF( 'FOOD SVC MANAGEMENT COMPANIES'!$D$6:$H$33 = $P$2, ROW('FOOD SVC MANAGEMENT COMPANIES'!$B$6:$B$33)-ROW('FOOD SVC MANAGEMENT COMPANIES'!$B$6)+1 ),  ROWS('FOOD SVC MANAGEMENT COMPANIES'!$B$6:$B6)) ),""), "")</f>
        <v/>
      </c>
      <c r="Q4" s="56" t="str">
        <f>IFERROR(VLOOKUP(P4,'FOOD SVC MANAGEMENT COMPANIES'!$B:$H,9,0),"")</f>
        <v/>
      </c>
      <c r="R4" s="63"/>
      <c r="S4" s="63"/>
      <c r="T4" s="64"/>
      <c r="U4" s="56" t="str">
        <f t="array" ref="U4">IFERROR(IF($U$2 &lt;&gt; "", INDEX('FOOD SVC MANAGEMENT COMPANIES'!$B$6:$B$33,  SMALL( IF( 'FOOD SVC MANAGEMENT COMPANIES'!$D$6:$H$33 = $U$2, ROW('FOOD SVC MANAGEMENT COMPANIES'!$B$6:$B$33)-ROW('FOOD SVC MANAGEMENT COMPANIES'!$B$6)+1 ),  ROWS('FOOD SVC MANAGEMENT COMPANIES'!$B$6:$B6)) ),""), "")</f>
        <v/>
      </c>
      <c r="V4" s="56" t="str">
        <f>IFERROR(VLOOKUP(U4,'FOOD SVC MANAGEMENT COMPANIES'!$B:$H,9,0),"")</f>
        <v/>
      </c>
      <c r="W4" s="63"/>
      <c r="X4" s="63"/>
      <c r="Y4" s="64"/>
      <c r="Z4" s="56" t="str">
        <f t="array" ref="Z4">IFERROR(IF($Z$2 &lt;&gt; "", INDEX('FOOD SVC MANAGEMENT COMPANIES'!$B$6:$B$33,  SMALL( IF( 'FOOD SVC MANAGEMENT COMPANIES'!$D$6:$H$33 = $Z$2, ROW('FOOD SVC MANAGEMENT COMPANIES'!$B$6:$B$33)-ROW('FOOD SVC MANAGEMENT COMPANIES'!$B$6)+1 ),  ROWS('FOOD SVC MANAGEMENT COMPANIES'!$B$6:$B6)) ),""), "")</f>
        <v/>
      </c>
      <c r="AA4" s="56" t="str">
        <f>IFERROR(VLOOKUP(Z4,'FOOD SVC MANAGEMENT COMPANIES'!$B:$H,9,0),"")</f>
        <v/>
      </c>
      <c r="AB4" s="63"/>
      <c r="AC4" s="63"/>
      <c r="AD4" s="64"/>
      <c r="AE4" s="65"/>
      <c r="AF4" s="65"/>
      <c r="AG4" s="65"/>
      <c r="AH4" s="65"/>
      <c r="AI4" s="65"/>
      <c r="AJ4" s="65"/>
      <c r="AK4" s="65"/>
      <c r="AL4" s="65"/>
    </row>
    <row r="5" spans="1:38" s="66" customFormat="1" ht="31.5" x14ac:dyDescent="0.25">
      <c r="A5" s="56" t="str">
        <f t="array" ref="A5">IFERROR(IF($A$2 &lt;&gt; "", INDEX('FOOD SVC MANAGEMENT COMPANIES'!$B$6:$B$33,  SMALL( IF( 'FOOD SVC MANAGEMENT COMPANIES'!$D$6:$H$33 = $A$2, ROW('FOOD SVC MANAGEMENT COMPANIES'!$B$6:$B$33)-ROW('FOOD SVC MANAGEMENT COMPANIES'!$B$6)+1 ),  ROWS('FOOD SVC MANAGEMENT COMPANIES'!$B$6:$B7)) ),""), "")</f>
        <v>1) Were amendments made to the contract without State agency prior approval?</v>
      </c>
      <c r="B5" s="56" t="str">
        <f>IFERROR(VLOOKUP(A5,'FOOD SVC MANAGEMENT COMPANIES'!$B:$H,9,0),"")</f>
        <v/>
      </c>
      <c r="C5" s="63"/>
      <c r="D5" s="63"/>
      <c r="E5" s="64"/>
      <c r="F5" s="56" t="str">
        <f t="array" ref="F5">IFERROR(IF($F$2 &lt;&gt; "", INDEX('FOOD SVC MANAGEMENT COMPANIES'!$B$6:$B$33,  SMALL( IF( 'FOOD SVC MANAGEMENT COMPANIES'!$D$6:$H$33 = $F$2, ROW('FOOD SVC MANAGEMENT COMPANIES'!$B$6:$B$33)-ROW('FOOD SVC MANAGEMENT COMPANIES'!$B$6)+1 ),  ROWS('FOOD SVC MANAGEMENT COMPANIES'!$B$6:$B7)) ),""), "")</f>
        <v/>
      </c>
      <c r="G5" s="56" t="str">
        <f>IFERROR(VLOOKUP(F5,'FOOD SVC MANAGEMENT COMPANIES'!$B:$H,9,0),"")</f>
        <v/>
      </c>
      <c r="H5" s="63"/>
      <c r="I5" s="63"/>
      <c r="J5" s="64"/>
      <c r="K5" s="56" t="str">
        <f t="array" ref="K5">IFERROR(IF($K$2 &lt;&gt; "", INDEX('FOOD SVC MANAGEMENT COMPANIES'!$B$6:$B$33,  SMALL( IF( 'FOOD SVC MANAGEMENT COMPANIES'!$D$6:$H$33 = $K$2, ROW('FOOD SVC MANAGEMENT COMPANIES'!$B$6:$B$33)-ROW('FOOD SVC MANAGEMENT COMPANIES'!$B$6)+1 ),  ROWS('FOOD SVC MANAGEMENT COMPANIES'!$B$6:$B7)) ),""), "")</f>
        <v/>
      </c>
      <c r="L5" s="56" t="str">
        <f>IFERROR(VLOOKUP(K5,'FOOD SVC MANAGEMENT COMPANIES'!$B:$H,9,0),"")</f>
        <v/>
      </c>
      <c r="M5" s="63"/>
      <c r="N5" s="63"/>
      <c r="O5" s="64"/>
      <c r="P5" s="56" t="str">
        <f t="array" ref="P5">IFERROR(IF($P$2 &lt;&gt; "", INDEX('FOOD SVC MANAGEMENT COMPANIES'!$B$6:$B$33,  SMALL( IF( 'FOOD SVC MANAGEMENT COMPANIES'!$D$6:$H$33 = $P$2, ROW('FOOD SVC MANAGEMENT COMPANIES'!$B$6:$B$33)-ROW('FOOD SVC MANAGEMENT COMPANIES'!$B$6)+1 ),  ROWS('FOOD SVC MANAGEMENT COMPANIES'!$B$6:$B7)) ),""), "")</f>
        <v/>
      </c>
      <c r="Q5" s="56" t="str">
        <f>IFERROR(VLOOKUP(P5,'FOOD SVC MANAGEMENT COMPANIES'!$B:$H,9,0),"")</f>
        <v/>
      </c>
      <c r="R5" s="63"/>
      <c r="S5" s="63"/>
      <c r="T5" s="64"/>
      <c r="U5" s="56" t="str">
        <f t="array" ref="U5">IFERROR(IF($U$2 &lt;&gt; "", INDEX('FOOD SVC MANAGEMENT COMPANIES'!$B$6:$B$33,  SMALL( IF( 'FOOD SVC MANAGEMENT COMPANIES'!$D$6:$H$33 = $U$2, ROW('FOOD SVC MANAGEMENT COMPANIES'!$B$6:$B$33)-ROW('FOOD SVC MANAGEMENT COMPANIES'!$B$6)+1 ),  ROWS('FOOD SVC MANAGEMENT COMPANIES'!$B$6:$B7)) ),""), "")</f>
        <v/>
      </c>
      <c r="V5" s="56" t="str">
        <f>IFERROR(VLOOKUP(U5,'FOOD SVC MANAGEMENT COMPANIES'!$B:$H,9,0),"")</f>
        <v/>
      </c>
      <c r="W5" s="63"/>
      <c r="X5" s="63"/>
      <c r="Y5" s="64"/>
      <c r="Z5" s="56" t="str">
        <f t="array" ref="Z5">IFERROR(IF($Z$2 &lt;&gt; "", INDEX('FOOD SVC MANAGEMENT COMPANIES'!$B$6:$B$33,  SMALL( IF( 'FOOD SVC MANAGEMENT COMPANIES'!$D$6:$H$33 = $Z$2, ROW('FOOD SVC MANAGEMENT COMPANIES'!$B$6:$B$33)-ROW('FOOD SVC MANAGEMENT COMPANIES'!$B$6)+1 ),  ROWS('FOOD SVC MANAGEMENT COMPANIES'!$B$6:$B7)) ),""), "")</f>
        <v/>
      </c>
      <c r="AA5" s="56" t="str">
        <f>IFERROR(VLOOKUP(Z5,'FOOD SVC MANAGEMENT COMPANIES'!$B:$H,9,0),"")</f>
        <v/>
      </c>
      <c r="AB5" s="63"/>
      <c r="AC5" s="63"/>
      <c r="AD5" s="64"/>
      <c r="AE5" s="65"/>
      <c r="AF5" s="65"/>
      <c r="AG5" s="65"/>
      <c r="AH5" s="65"/>
      <c r="AI5" s="65"/>
      <c r="AJ5" s="65"/>
      <c r="AK5" s="65"/>
      <c r="AL5" s="65"/>
    </row>
    <row r="6" spans="1:38" s="66" customFormat="1" ht="31.5" x14ac:dyDescent="0.25">
      <c r="A6" s="56" t="str">
        <f t="array" ref="A6">IFERROR(IF($A$2 &lt;&gt; "", INDEX('FOOD SVC MANAGEMENT COMPANIES'!$B$6:$B$33,  SMALL( IF( 'FOOD SVC MANAGEMENT COMPANIES'!$D$6:$H$33 = $A$2, ROW('FOOD SVC MANAGEMENT COMPANIES'!$B$6:$B$33)-ROW('FOOD SVC MANAGEMENT COMPANIES'!$B$6)+1 ),  ROWS('FOOD SVC MANAGEMENT COMPANIES'!$B$6:$B8)) ),""), "")</f>
        <v>1) Were amendments made to the contract without State agency prior approval?</v>
      </c>
      <c r="B6" s="56" t="str">
        <f>IFERROR(VLOOKUP(A6,'FOOD SVC MANAGEMENT COMPANIES'!$B:$H,9,0),"")</f>
        <v/>
      </c>
      <c r="C6" s="63"/>
      <c r="D6" s="63"/>
      <c r="E6" s="64"/>
      <c r="F6" s="56" t="str">
        <f t="array" ref="F6">IFERROR(IF($F$2 &lt;&gt; "", INDEX('FOOD SVC MANAGEMENT COMPANIES'!$B$6:$B$33,  SMALL( IF( 'FOOD SVC MANAGEMENT COMPANIES'!$D$6:$H$33 = $F$2, ROW('FOOD SVC MANAGEMENT COMPANIES'!$B$6:$B$33)-ROW('FOOD SVC MANAGEMENT COMPANIES'!$B$6)+1 ),  ROWS('FOOD SVC MANAGEMENT COMPANIES'!$B$6:$B8)) ),""), "")</f>
        <v/>
      </c>
      <c r="G6" s="56" t="str">
        <f>IFERROR(VLOOKUP(F6,'FOOD SVC MANAGEMENT COMPANIES'!$B:$H,9,0),"")</f>
        <v/>
      </c>
      <c r="H6" s="63"/>
      <c r="I6" s="63"/>
      <c r="J6" s="64"/>
      <c r="K6" s="56" t="str">
        <f t="array" ref="K6">IFERROR(IF($K$2 &lt;&gt; "", INDEX('FOOD SVC MANAGEMENT COMPANIES'!$B$6:$B$33,  SMALL( IF( 'FOOD SVC MANAGEMENT COMPANIES'!$D$6:$H$33 = $K$2, ROW('FOOD SVC MANAGEMENT COMPANIES'!$B$6:$B$33)-ROW('FOOD SVC MANAGEMENT COMPANIES'!$B$6)+1 ),  ROWS('FOOD SVC MANAGEMENT COMPANIES'!$B$6:$B8)) ),""), "")</f>
        <v/>
      </c>
      <c r="L6" s="56" t="str">
        <f>IFERROR(VLOOKUP(K6,'FOOD SVC MANAGEMENT COMPANIES'!$B:$H,9,0),"")</f>
        <v/>
      </c>
      <c r="M6" s="63"/>
      <c r="N6" s="63"/>
      <c r="O6" s="64"/>
      <c r="P6" s="56" t="str">
        <f t="array" ref="P6">IFERROR(IF($P$2 &lt;&gt; "", INDEX('FOOD SVC MANAGEMENT COMPANIES'!$B$6:$B$33,  SMALL( IF( 'FOOD SVC MANAGEMENT COMPANIES'!$D$6:$H$33 = $P$2, ROW('FOOD SVC MANAGEMENT COMPANIES'!$B$6:$B$33)-ROW('FOOD SVC MANAGEMENT COMPANIES'!$B$6)+1 ),  ROWS('FOOD SVC MANAGEMENT COMPANIES'!$B$6:$B8)) ),""), "")</f>
        <v/>
      </c>
      <c r="Q6" s="56" t="str">
        <f>IFERROR(VLOOKUP(P6,'FOOD SVC MANAGEMENT COMPANIES'!$B:$H,9,0),"")</f>
        <v/>
      </c>
      <c r="R6" s="63"/>
      <c r="S6" s="63"/>
      <c r="T6" s="64"/>
      <c r="U6" s="56" t="str">
        <f t="array" ref="U6">IFERROR(IF($U$2 &lt;&gt; "", INDEX('FOOD SVC MANAGEMENT COMPANIES'!$B$6:$B$33,  SMALL( IF( 'FOOD SVC MANAGEMENT COMPANIES'!$D$6:$H$33 = $U$2, ROW('FOOD SVC MANAGEMENT COMPANIES'!$B$6:$B$33)-ROW('FOOD SVC MANAGEMENT COMPANIES'!$B$6)+1 ),  ROWS('FOOD SVC MANAGEMENT COMPANIES'!$B$6:$B8)) ),""), "")</f>
        <v/>
      </c>
      <c r="V6" s="56" t="str">
        <f>IFERROR(VLOOKUP(U6,'FOOD SVC MANAGEMENT COMPANIES'!$B:$H,9,0),"")</f>
        <v/>
      </c>
      <c r="W6" s="63"/>
      <c r="X6" s="63"/>
      <c r="Y6" s="64"/>
      <c r="Z6" s="56" t="str">
        <f t="array" ref="Z6">IFERROR(IF($Z$2 &lt;&gt; "", INDEX('FOOD SVC MANAGEMENT COMPANIES'!$B$6:$B$33,  SMALL( IF( 'FOOD SVC MANAGEMENT COMPANIES'!$D$6:$H$33 = $Z$2, ROW('FOOD SVC MANAGEMENT COMPANIES'!$B$6:$B$33)-ROW('FOOD SVC MANAGEMENT COMPANIES'!$B$6)+1 ),  ROWS('FOOD SVC MANAGEMENT COMPANIES'!$B$6:$B8)) ),""), "")</f>
        <v/>
      </c>
      <c r="AA6" s="56" t="str">
        <f>IFERROR(VLOOKUP(Z6,'FOOD SVC MANAGEMENT COMPANIES'!$B:$H,9,0),"")</f>
        <v/>
      </c>
      <c r="AB6" s="63"/>
      <c r="AC6" s="63"/>
      <c r="AD6" s="64"/>
      <c r="AE6" s="65"/>
      <c r="AF6" s="65"/>
      <c r="AG6" s="65"/>
      <c r="AH6" s="65"/>
      <c r="AI6" s="65"/>
      <c r="AJ6" s="65"/>
      <c r="AK6" s="65"/>
      <c r="AL6" s="65"/>
    </row>
    <row r="7" spans="1:38" s="66" customFormat="1" ht="31.5" x14ac:dyDescent="0.25">
      <c r="A7" s="56" t="str">
        <f t="array" ref="A7">IFERROR(IF($A$2 &lt;&gt; "", INDEX('FOOD SVC MANAGEMENT COMPANIES'!$B$6:$B$33,  SMALL( IF( 'FOOD SVC MANAGEMENT COMPANIES'!$D$6:$H$33 = $A$2, ROW('FOOD SVC MANAGEMENT COMPANIES'!$B$6:$B$33)-ROW('FOOD SVC MANAGEMENT COMPANIES'!$B$6)+1 ),  ROWS('FOOD SVC MANAGEMENT COMPANIES'!$B$6:$B9)) ),""), "")</f>
        <v>1) Were amendments made to the contract without State agency prior approval?</v>
      </c>
      <c r="B7" s="56" t="str">
        <f>IFERROR(VLOOKUP(A7,'FOOD SVC MANAGEMENT COMPANIES'!$B:$H,9,0),"")</f>
        <v/>
      </c>
      <c r="C7" s="63"/>
      <c r="D7" s="63"/>
      <c r="E7" s="64"/>
      <c r="F7" s="56" t="str">
        <f t="array" ref="F7">IFERROR(IF($F$2 &lt;&gt; "", INDEX('FOOD SVC MANAGEMENT COMPANIES'!$B$6:$B$33,  SMALL( IF( 'FOOD SVC MANAGEMENT COMPANIES'!$D$6:$H$33 = $F$2, ROW('FOOD SVC MANAGEMENT COMPANIES'!$B$6:$B$33)-ROW('FOOD SVC MANAGEMENT COMPANIES'!$B$6)+1 ),  ROWS('FOOD SVC MANAGEMENT COMPANIES'!$B$6:$B9)) ),""), "")</f>
        <v/>
      </c>
      <c r="G7" s="56" t="str">
        <f>IFERROR(VLOOKUP(F7,'FOOD SVC MANAGEMENT COMPANIES'!$B:$H,9,0),"")</f>
        <v/>
      </c>
      <c r="H7" s="63"/>
      <c r="I7" s="63"/>
      <c r="J7" s="64"/>
      <c r="K7" s="56" t="str">
        <f t="array" ref="K7">IFERROR(IF($K$2 &lt;&gt; "", INDEX('FOOD SVC MANAGEMENT COMPANIES'!$B$6:$B$33,  SMALL( IF( 'FOOD SVC MANAGEMENT COMPANIES'!$D$6:$H$33 = $K$2, ROW('FOOD SVC MANAGEMENT COMPANIES'!$B$6:$B$33)-ROW('FOOD SVC MANAGEMENT COMPANIES'!$B$6)+1 ),  ROWS('FOOD SVC MANAGEMENT COMPANIES'!$B$6:$B9)) ),""), "")</f>
        <v/>
      </c>
      <c r="L7" s="56" t="str">
        <f>IFERROR(VLOOKUP(K7,'FOOD SVC MANAGEMENT COMPANIES'!$B:$H,9,0),"")</f>
        <v/>
      </c>
      <c r="M7" s="63"/>
      <c r="N7" s="63"/>
      <c r="O7" s="64"/>
      <c r="P7" s="56" t="str">
        <f t="array" ref="P7">IFERROR(IF($P$2 &lt;&gt; "", INDEX('FOOD SVC MANAGEMENT COMPANIES'!$B$6:$B$33,  SMALL( IF( 'FOOD SVC MANAGEMENT COMPANIES'!$D$6:$H$33 = $P$2, ROW('FOOD SVC MANAGEMENT COMPANIES'!$B$6:$B$33)-ROW('FOOD SVC MANAGEMENT COMPANIES'!$B$6)+1 ),  ROWS('FOOD SVC MANAGEMENT COMPANIES'!$B$6:$B9)) ),""), "")</f>
        <v/>
      </c>
      <c r="Q7" s="56" t="str">
        <f>IFERROR(VLOOKUP(P7,'FOOD SVC MANAGEMENT COMPANIES'!$B:$H,9,0),"")</f>
        <v/>
      </c>
      <c r="R7" s="63"/>
      <c r="S7" s="63"/>
      <c r="T7" s="64"/>
      <c r="U7" s="56" t="str">
        <f t="array" ref="U7">IFERROR(IF($U$2 &lt;&gt; "", INDEX('FOOD SVC MANAGEMENT COMPANIES'!$B$6:$B$33,  SMALL( IF( 'FOOD SVC MANAGEMENT COMPANIES'!$D$6:$H$33 = $U$2, ROW('FOOD SVC MANAGEMENT COMPANIES'!$B$6:$B$33)-ROW('FOOD SVC MANAGEMENT COMPANIES'!$B$6)+1 ),  ROWS('FOOD SVC MANAGEMENT COMPANIES'!$B$6:$B9)) ),""), "")</f>
        <v/>
      </c>
      <c r="V7" s="56" t="str">
        <f>IFERROR(VLOOKUP(U7,'FOOD SVC MANAGEMENT COMPANIES'!$B:$H,9,0),"")</f>
        <v/>
      </c>
      <c r="W7" s="63"/>
      <c r="X7" s="63"/>
      <c r="Y7" s="64"/>
      <c r="Z7" s="56" t="str">
        <f t="array" ref="Z7">IFERROR(IF($Z$2 &lt;&gt; "", INDEX('FOOD SVC MANAGEMENT COMPANIES'!$B$6:$B$33,  SMALL( IF( 'FOOD SVC MANAGEMENT COMPANIES'!$D$6:$H$33 = $Z$2, ROW('FOOD SVC MANAGEMENT COMPANIES'!$B$6:$B$33)-ROW('FOOD SVC MANAGEMENT COMPANIES'!$B$6)+1 ),  ROWS('FOOD SVC MANAGEMENT COMPANIES'!$B$6:$B9)) ),""), "")</f>
        <v/>
      </c>
      <c r="AA7" s="56" t="str">
        <f>IFERROR(VLOOKUP(Z7,'FOOD SVC MANAGEMENT COMPANIES'!$B:$H,9,0),"")</f>
        <v/>
      </c>
      <c r="AB7" s="63"/>
      <c r="AC7" s="63"/>
      <c r="AD7" s="64"/>
      <c r="AE7" s="65"/>
      <c r="AF7" s="65"/>
      <c r="AG7" s="65"/>
      <c r="AH7" s="65"/>
      <c r="AI7" s="65"/>
      <c r="AJ7" s="65"/>
      <c r="AK7" s="65"/>
      <c r="AL7" s="65"/>
    </row>
    <row r="8" spans="1:38" s="66" customFormat="1" ht="31.5" x14ac:dyDescent="0.25">
      <c r="A8" s="56" t="str">
        <f t="array" ref="A8">IFERROR(IF($A$2 &lt;&gt; "", INDEX('FOOD SVC MANAGEMENT COMPANIES'!$B$6:$B$33,  SMALL( IF( 'FOOD SVC MANAGEMENT COMPANIES'!$D$6:$H$33 = $A$2, ROW('FOOD SVC MANAGEMENT COMPANIES'!$B$6:$B$33)-ROW('FOOD SVC MANAGEMENT COMPANIES'!$B$6)+1 ),  ROWS('FOOD SVC MANAGEMENT COMPANIES'!$B$6:$B10)) ),""), "")</f>
        <v>1) Were amendments made to the contract without State agency prior approval?</v>
      </c>
      <c r="B8" s="56" t="str">
        <f>IFERROR(VLOOKUP(A8,'FOOD SVC MANAGEMENT COMPANIES'!$B:$H,9,0),"")</f>
        <v/>
      </c>
      <c r="C8" s="63"/>
      <c r="D8" s="63"/>
      <c r="E8" s="64"/>
      <c r="F8" s="56" t="str">
        <f t="array" ref="F8">IFERROR(IF($F$2 &lt;&gt; "", INDEX('FOOD SVC MANAGEMENT COMPANIES'!$B$6:$B$33,  SMALL( IF( 'FOOD SVC MANAGEMENT COMPANIES'!$D$6:$H$33 = $F$2, ROW('FOOD SVC MANAGEMENT COMPANIES'!$B$6:$B$33)-ROW('FOOD SVC MANAGEMENT COMPANIES'!$B$6)+1 ),  ROWS('FOOD SVC MANAGEMENT COMPANIES'!$B$6:$B10)) ),""), "")</f>
        <v/>
      </c>
      <c r="G8" s="56" t="str">
        <f>IFERROR(VLOOKUP(F8,'FOOD SVC MANAGEMENT COMPANIES'!$B:$H,9,0),"")</f>
        <v/>
      </c>
      <c r="H8" s="63"/>
      <c r="I8" s="63"/>
      <c r="J8" s="64"/>
      <c r="K8" s="56" t="str">
        <f t="array" ref="K8">IFERROR(IF($K$2 &lt;&gt; "", INDEX('FOOD SVC MANAGEMENT COMPANIES'!$B$6:$B$33,  SMALL( IF( 'FOOD SVC MANAGEMENT COMPANIES'!$D$6:$H$33 = $K$2, ROW('FOOD SVC MANAGEMENT COMPANIES'!$B$6:$B$33)-ROW('FOOD SVC MANAGEMENT COMPANIES'!$B$6)+1 ),  ROWS('FOOD SVC MANAGEMENT COMPANIES'!$B$6:$B10)) ),""), "")</f>
        <v/>
      </c>
      <c r="L8" s="56" t="str">
        <f>IFERROR(VLOOKUP(K8,'FOOD SVC MANAGEMENT COMPANIES'!$B:$H,9,0),"")</f>
        <v/>
      </c>
      <c r="M8" s="63"/>
      <c r="N8" s="63"/>
      <c r="O8" s="64"/>
      <c r="P8" s="56" t="str">
        <f t="array" ref="P8">IFERROR(IF($P$2 &lt;&gt; "", INDEX('FOOD SVC MANAGEMENT COMPANIES'!$B$6:$B$33,  SMALL( IF( 'FOOD SVC MANAGEMENT COMPANIES'!$D$6:$H$33 = $P$2, ROW('FOOD SVC MANAGEMENT COMPANIES'!$B$6:$B$33)-ROW('FOOD SVC MANAGEMENT COMPANIES'!$B$6)+1 ),  ROWS('FOOD SVC MANAGEMENT COMPANIES'!$B$6:$B10)) ),""), "")</f>
        <v/>
      </c>
      <c r="Q8" s="56" t="str">
        <f>IFERROR(VLOOKUP(P8,'FOOD SVC MANAGEMENT COMPANIES'!$B:$H,9,0),"")</f>
        <v/>
      </c>
      <c r="R8" s="63"/>
      <c r="S8" s="63"/>
      <c r="T8" s="64"/>
      <c r="U8" s="56" t="str">
        <f t="array" ref="U8">IFERROR(IF($U$2 &lt;&gt; "", INDEX('FOOD SVC MANAGEMENT COMPANIES'!$B$6:$B$33,  SMALL( IF( 'FOOD SVC MANAGEMENT COMPANIES'!$D$6:$H$33 = $U$2, ROW('FOOD SVC MANAGEMENT COMPANIES'!$B$6:$B$33)-ROW('FOOD SVC MANAGEMENT COMPANIES'!$B$6)+1 ),  ROWS('FOOD SVC MANAGEMENT COMPANIES'!$B$6:$B10)) ),""), "")</f>
        <v/>
      </c>
      <c r="V8" s="56" t="str">
        <f>IFERROR(VLOOKUP(U8,'FOOD SVC MANAGEMENT COMPANIES'!$B:$H,9,0),"")</f>
        <v/>
      </c>
      <c r="W8" s="63"/>
      <c r="X8" s="63"/>
      <c r="Y8" s="64"/>
      <c r="Z8" s="56" t="str">
        <f t="array" ref="Z8">IFERROR(IF($Z$2 &lt;&gt; "", INDEX('FOOD SVC MANAGEMENT COMPANIES'!$B$6:$B$33,  SMALL( IF( 'FOOD SVC MANAGEMENT COMPANIES'!$D$6:$H$33 = $Z$2, ROW('FOOD SVC MANAGEMENT COMPANIES'!$B$6:$B$33)-ROW('FOOD SVC MANAGEMENT COMPANIES'!$B$6)+1 ),  ROWS('FOOD SVC MANAGEMENT COMPANIES'!$B$6:$B10)) ),""), "")</f>
        <v/>
      </c>
      <c r="AA8" s="56" t="str">
        <f>IFERROR(VLOOKUP(Z8,'FOOD SVC MANAGEMENT COMPANIES'!$B:$H,9,0),"")</f>
        <v/>
      </c>
      <c r="AB8" s="63"/>
      <c r="AC8" s="63"/>
      <c r="AD8" s="64"/>
      <c r="AE8" s="65"/>
      <c r="AF8" s="65"/>
      <c r="AG8" s="65"/>
      <c r="AH8" s="65"/>
      <c r="AI8" s="65"/>
      <c r="AJ8" s="65"/>
      <c r="AK8" s="65"/>
      <c r="AL8" s="65"/>
    </row>
    <row r="9" spans="1:38" s="66" customFormat="1" ht="157.5" x14ac:dyDescent="0.25">
      <c r="A9" s="56" t="str">
        <f t="array" ref="A9">IFERROR(IF($A$2 &lt;&gt; "", INDEX('FOOD SVC MANAGEMENT COMPANIES'!$B$6:$B$33,  SMALL( IF( 'FOOD SVC MANAGEMENT COMPANIES'!$D$6:$H$33 = $A$2, ROW('FOOD SVC MANAGEMENT COMPANIES'!$B$6:$B$33)-ROW('FOOD SVC MANAGEMENT COMPANIES'!$B$6)+1 ),  ROWS('FOOD SVC MANAGEMENT COMPANIES'!$B$6:$B11)) ),""), "")</f>
        <v xml:space="preserve"> a.) If amendments were made, was a material change made?  (NOTE:  Compare all amendments to the original contract to determine if a material change in scope was made such as the addition of other Programs, adding other parties not included in solicitation, investments such as capital equipment, adjustments for which prior approval was not obtained by the State agency or increases in the contract amount to more than the Simplified Acquisition Threshold (2 CFR 200.324(b)(5) or other changes otherwise specified in the solicitation/contract.) (If a material change was made, this is a finding requiring a new solicitation.)</v>
      </c>
      <c r="B9" s="56" t="str">
        <f>IFERROR(VLOOKUP(A9,'FOOD SVC MANAGEMENT COMPANIES'!$B:$H,9,0),"")</f>
        <v/>
      </c>
      <c r="C9" s="63"/>
      <c r="D9" s="63"/>
      <c r="E9" s="64"/>
      <c r="F9" s="56" t="str">
        <f t="array" ref="F9">IFERROR(IF($F$2 &lt;&gt; "", INDEX('FOOD SVC MANAGEMENT COMPANIES'!$B$6:$B$33,  SMALL( IF( 'FOOD SVC MANAGEMENT COMPANIES'!$D$6:$H$33 = $F$2, ROW('FOOD SVC MANAGEMENT COMPANIES'!$B$6:$B$33)-ROW('FOOD SVC MANAGEMENT COMPANIES'!$B$6)+1 ),  ROWS('FOOD SVC MANAGEMENT COMPANIES'!$B$6:$B11)) ),""), "")</f>
        <v/>
      </c>
      <c r="G9" s="56" t="str">
        <f>IFERROR(VLOOKUP(F9,'FOOD SVC MANAGEMENT COMPANIES'!$B:$H,9,0),"")</f>
        <v/>
      </c>
      <c r="H9" s="63"/>
      <c r="I9" s="63"/>
      <c r="J9" s="64"/>
      <c r="K9" s="56" t="str">
        <f t="array" ref="K9">IFERROR(IF($K$2 &lt;&gt; "", INDEX('FOOD SVC MANAGEMENT COMPANIES'!$B$6:$B$33,  SMALL( IF( 'FOOD SVC MANAGEMENT COMPANIES'!$D$6:$H$33 = $K$2, ROW('FOOD SVC MANAGEMENT COMPANIES'!$B$6:$B$33)-ROW('FOOD SVC MANAGEMENT COMPANIES'!$B$6)+1 ),  ROWS('FOOD SVC MANAGEMENT COMPANIES'!$B$6:$B11)) ),""), "")</f>
        <v/>
      </c>
      <c r="L9" s="56" t="str">
        <f>IFERROR(VLOOKUP(K9,'FOOD SVC MANAGEMENT COMPANIES'!$B:$H,9,0),"")</f>
        <v/>
      </c>
      <c r="M9" s="63"/>
      <c r="N9" s="63"/>
      <c r="O9" s="64"/>
      <c r="P9" s="56" t="str">
        <f t="array" ref="P9">IFERROR(IF($P$2 &lt;&gt; "", INDEX('FOOD SVC MANAGEMENT COMPANIES'!$B$6:$B$33,  SMALL( IF( 'FOOD SVC MANAGEMENT COMPANIES'!$D$6:$H$33 = $P$2, ROW('FOOD SVC MANAGEMENT COMPANIES'!$B$6:$B$33)-ROW('FOOD SVC MANAGEMENT COMPANIES'!$B$6)+1 ),  ROWS('FOOD SVC MANAGEMENT COMPANIES'!$B$6:$B11)) ),""), "")</f>
        <v/>
      </c>
      <c r="Q9" s="56" t="str">
        <f>IFERROR(VLOOKUP(P9,'FOOD SVC MANAGEMENT COMPANIES'!$B:$H,9,0),"")</f>
        <v/>
      </c>
      <c r="R9" s="63"/>
      <c r="S9" s="63"/>
      <c r="T9" s="64"/>
      <c r="U9" s="56" t="str">
        <f t="array" ref="U9">IFERROR(IF($U$2 &lt;&gt; "", INDEX('FOOD SVC MANAGEMENT COMPANIES'!$B$6:$B$33,  SMALL( IF( 'FOOD SVC MANAGEMENT COMPANIES'!$D$6:$H$33 = $U$2, ROW('FOOD SVC MANAGEMENT COMPANIES'!$B$6:$B$33)-ROW('FOOD SVC MANAGEMENT COMPANIES'!$B$6)+1 ),  ROWS('FOOD SVC MANAGEMENT COMPANIES'!$B$6:$B11)) ),""), "")</f>
        <v/>
      </c>
      <c r="V9" s="56" t="str">
        <f>IFERROR(VLOOKUP(U9,'FOOD SVC MANAGEMENT COMPANIES'!$B:$H,9,0),"")</f>
        <v/>
      </c>
      <c r="W9" s="63"/>
      <c r="X9" s="63"/>
      <c r="Y9" s="64"/>
      <c r="Z9" s="56" t="str">
        <f t="array" ref="Z9">IFERROR(IF($Z$2 &lt;&gt; "", INDEX('FOOD SVC MANAGEMENT COMPANIES'!$B$6:$B$33,  SMALL( IF( 'FOOD SVC MANAGEMENT COMPANIES'!$D$6:$H$33 = $Z$2, ROW('FOOD SVC MANAGEMENT COMPANIES'!$B$6:$B$33)-ROW('FOOD SVC MANAGEMENT COMPANIES'!$B$6)+1 ),  ROWS('FOOD SVC MANAGEMENT COMPANIES'!$B$6:$B11)) ),""), "")</f>
        <v/>
      </c>
      <c r="AA9" s="56" t="str">
        <f>IFERROR(VLOOKUP(Z9,'FOOD SVC MANAGEMENT COMPANIES'!$B:$H,9,0),"")</f>
        <v/>
      </c>
      <c r="AB9" s="63"/>
      <c r="AC9" s="63"/>
      <c r="AD9" s="64"/>
      <c r="AE9" s="65"/>
      <c r="AF9" s="65"/>
      <c r="AG9" s="65"/>
      <c r="AH9" s="65"/>
      <c r="AI9" s="65"/>
      <c r="AJ9" s="65"/>
      <c r="AK9" s="65"/>
      <c r="AL9" s="65"/>
    </row>
    <row r="10" spans="1:38" s="66" customFormat="1" ht="157.5" x14ac:dyDescent="0.25">
      <c r="A10" s="56" t="str">
        <f t="array" ref="A10">IFERROR(IF($A$2 &lt;&gt; "", INDEX('FOOD SVC MANAGEMENT COMPANIES'!$B$6:$B$33,  SMALL( IF( 'FOOD SVC MANAGEMENT COMPANIES'!$D$6:$H$33 = $A$2, ROW('FOOD SVC MANAGEMENT COMPANIES'!$B$6:$B$33)-ROW('FOOD SVC MANAGEMENT COMPANIES'!$B$6)+1 ),  ROWS('FOOD SVC MANAGEMENT COMPANIES'!$B$6:$B12)) ),""), "")</f>
        <v xml:space="preserve"> a.) If amendments were made, was a material change made?  (NOTE:  Compare all amendments to the original contract to determine if a material change in scope was made such as the addition of other Programs, adding other parties not included in solicitation, investments such as capital equipment, adjustments for which prior approval was not obtained by the State agency or increases in the contract amount to more than the Simplified Acquisition Threshold (2 CFR 200.324(b)(5) or other changes otherwise specified in the solicitation/contract.) (If a material change was made, this is a finding requiring a new solicitation.)</v>
      </c>
      <c r="B10" s="56" t="str">
        <f>IFERROR(VLOOKUP(A10,'FOOD SVC MANAGEMENT COMPANIES'!$B:$H,9,0),"")</f>
        <v/>
      </c>
      <c r="C10" s="63"/>
      <c r="D10" s="63"/>
      <c r="E10" s="64"/>
      <c r="F10" s="56" t="str">
        <f t="array" ref="F10">IFERROR(IF($F$2 &lt;&gt; "", INDEX('FOOD SVC MANAGEMENT COMPANIES'!$B$6:$B$33,  SMALL( IF( 'FOOD SVC MANAGEMENT COMPANIES'!$D$6:$H$33 = $F$2, ROW('FOOD SVC MANAGEMENT COMPANIES'!$B$6:$B$33)-ROW('FOOD SVC MANAGEMENT COMPANIES'!$B$6)+1 ),  ROWS('FOOD SVC MANAGEMENT COMPANIES'!$B$6:$B12)) ),""), "")</f>
        <v/>
      </c>
      <c r="G10" s="56" t="str">
        <f>IFERROR(VLOOKUP(F10,'FOOD SVC MANAGEMENT COMPANIES'!$B:$H,9,0),"")</f>
        <v/>
      </c>
      <c r="H10" s="63"/>
      <c r="I10" s="63"/>
      <c r="J10" s="64"/>
      <c r="K10" s="56" t="str">
        <f t="array" ref="K10">IFERROR(IF($K$2 &lt;&gt; "", INDEX('FOOD SVC MANAGEMENT COMPANIES'!$B$6:$B$33,  SMALL( IF( 'FOOD SVC MANAGEMENT COMPANIES'!$D$6:$H$33 = $K$2, ROW('FOOD SVC MANAGEMENT COMPANIES'!$B$6:$B$33)-ROW('FOOD SVC MANAGEMENT COMPANIES'!$B$6)+1 ),  ROWS('FOOD SVC MANAGEMENT COMPANIES'!$B$6:$B12)) ),""), "")</f>
        <v/>
      </c>
      <c r="L10" s="56" t="str">
        <f>IFERROR(VLOOKUP(K10,'FOOD SVC MANAGEMENT COMPANIES'!$B:$H,9,0),"")</f>
        <v/>
      </c>
      <c r="M10" s="63"/>
      <c r="N10" s="63"/>
      <c r="O10" s="64"/>
      <c r="P10" s="56" t="str">
        <f t="array" ref="P10">IFERROR(IF($P$2 &lt;&gt; "", INDEX('FOOD SVC MANAGEMENT COMPANIES'!$B$6:$B$33,  SMALL( IF( 'FOOD SVC MANAGEMENT COMPANIES'!$D$6:$H$33 = $P$2, ROW('FOOD SVC MANAGEMENT COMPANIES'!$B$6:$B$33)-ROW('FOOD SVC MANAGEMENT COMPANIES'!$B$6)+1 ),  ROWS('FOOD SVC MANAGEMENT COMPANIES'!$B$6:$B12)) ),""), "")</f>
        <v/>
      </c>
      <c r="Q10" s="56" t="str">
        <f>IFERROR(VLOOKUP(P10,'FOOD SVC MANAGEMENT COMPANIES'!$B:$H,9,0),"")</f>
        <v/>
      </c>
      <c r="R10" s="63"/>
      <c r="S10" s="63"/>
      <c r="T10" s="64"/>
      <c r="U10" s="56" t="str">
        <f t="array" ref="U10">IFERROR(IF($U$2 &lt;&gt; "", INDEX('FOOD SVC MANAGEMENT COMPANIES'!$B$6:$B$33,  SMALL( IF( 'FOOD SVC MANAGEMENT COMPANIES'!$D$6:$H$33 = $U$2, ROW('FOOD SVC MANAGEMENT COMPANIES'!$B$6:$B$33)-ROW('FOOD SVC MANAGEMENT COMPANIES'!$B$6)+1 ),  ROWS('FOOD SVC MANAGEMENT COMPANIES'!$B$6:$B12)) ),""), "")</f>
        <v/>
      </c>
      <c r="V10" s="56" t="str">
        <f>IFERROR(VLOOKUP(U10,'FOOD SVC MANAGEMENT COMPANIES'!$B:$H,9,0),"")</f>
        <v/>
      </c>
      <c r="W10" s="63"/>
      <c r="X10" s="63"/>
      <c r="Y10" s="64"/>
      <c r="Z10" s="56" t="str">
        <f t="array" ref="Z10">IFERROR(IF($Z$2 &lt;&gt; "", INDEX('FOOD SVC MANAGEMENT COMPANIES'!$B$6:$B$33,  SMALL( IF( 'FOOD SVC MANAGEMENT COMPANIES'!$D$6:$H$33 = $Z$2, ROW('FOOD SVC MANAGEMENT COMPANIES'!$B$6:$B$33)-ROW('FOOD SVC MANAGEMENT COMPANIES'!$B$6)+1 ),  ROWS('FOOD SVC MANAGEMENT COMPANIES'!$B$6:$B12)) ),""), "")</f>
        <v/>
      </c>
      <c r="AA10" s="56" t="str">
        <f>IFERROR(VLOOKUP(Z10,'FOOD SVC MANAGEMENT COMPANIES'!$B:$H,9,0),"")</f>
        <v/>
      </c>
      <c r="AB10" s="63"/>
      <c r="AC10" s="63"/>
      <c r="AD10" s="64"/>
      <c r="AE10" s="65"/>
      <c r="AF10" s="65"/>
      <c r="AG10" s="65"/>
      <c r="AH10" s="65"/>
      <c r="AI10" s="65"/>
      <c r="AJ10" s="65"/>
      <c r="AK10" s="65"/>
      <c r="AL10" s="65"/>
    </row>
    <row r="11" spans="1:38" s="66" customFormat="1" ht="157.5" x14ac:dyDescent="0.25">
      <c r="A11" s="56" t="str">
        <f t="array" ref="A11">IFERROR(IF($A$2 &lt;&gt; "", INDEX('FOOD SVC MANAGEMENT COMPANIES'!$B$6:$B$33,  SMALL( IF( 'FOOD SVC MANAGEMENT COMPANIES'!$D$6:$H$33 = $A$2, ROW('FOOD SVC MANAGEMENT COMPANIES'!$B$6:$B$33)-ROW('FOOD SVC MANAGEMENT COMPANIES'!$B$6)+1 ),  ROWS('FOOD SVC MANAGEMENT COMPANIES'!$B$6:$B13)) ),""), "")</f>
        <v xml:space="preserve"> a.) If amendments were made, was a material change made?  (NOTE:  Compare all amendments to the original contract to determine if a material change in scope was made such as the addition of other Programs, adding other parties not included in solicitation, investments such as capital equipment, adjustments for which prior approval was not obtained by the State agency or increases in the contract amount to more than the Simplified Acquisition Threshold (2 CFR 200.324(b)(5) or other changes otherwise specified in the solicitation/contract.) (If a material change was made, this is a finding requiring a new solicitation.)</v>
      </c>
      <c r="B11" s="56" t="str">
        <f>IFERROR(VLOOKUP(A11,'FOOD SVC MANAGEMENT COMPANIES'!$B:$H,9,0),"")</f>
        <v/>
      </c>
      <c r="C11" s="63"/>
      <c r="D11" s="63"/>
      <c r="E11" s="64"/>
      <c r="F11" s="56" t="str">
        <f t="array" ref="F11">IFERROR(IF($F$2 &lt;&gt; "", INDEX('FOOD SVC MANAGEMENT COMPANIES'!$B$6:$B$33,  SMALL( IF( 'FOOD SVC MANAGEMENT COMPANIES'!$D$6:$H$33 = $F$2, ROW('FOOD SVC MANAGEMENT COMPANIES'!$B$6:$B$33)-ROW('FOOD SVC MANAGEMENT COMPANIES'!$B$6)+1 ),  ROWS('FOOD SVC MANAGEMENT COMPANIES'!$B$6:$B13)) ),""), "")</f>
        <v/>
      </c>
      <c r="G11" s="56" t="str">
        <f>IFERROR(VLOOKUP(F11,'FOOD SVC MANAGEMENT COMPANIES'!$B:$H,9,0),"")</f>
        <v/>
      </c>
      <c r="H11" s="63"/>
      <c r="I11" s="63"/>
      <c r="J11" s="64"/>
      <c r="K11" s="56" t="str">
        <f t="array" ref="K11">IFERROR(IF($K$2 &lt;&gt; "", INDEX('FOOD SVC MANAGEMENT COMPANIES'!$B$6:$B$33,  SMALL( IF( 'FOOD SVC MANAGEMENT COMPANIES'!$D$6:$H$33 = $K$2, ROW('FOOD SVC MANAGEMENT COMPANIES'!$B$6:$B$33)-ROW('FOOD SVC MANAGEMENT COMPANIES'!$B$6)+1 ),  ROWS('FOOD SVC MANAGEMENT COMPANIES'!$B$6:$B13)) ),""), "")</f>
        <v/>
      </c>
      <c r="L11" s="56" t="str">
        <f>IFERROR(VLOOKUP(K11,'FOOD SVC MANAGEMENT COMPANIES'!$B:$H,9,0),"")</f>
        <v/>
      </c>
      <c r="M11" s="63"/>
      <c r="N11" s="63"/>
      <c r="O11" s="64"/>
      <c r="P11" s="56" t="str">
        <f t="array" ref="P11">IFERROR(IF($P$2 &lt;&gt; "", INDEX('FOOD SVC MANAGEMENT COMPANIES'!$B$6:$B$33,  SMALL( IF( 'FOOD SVC MANAGEMENT COMPANIES'!$D$6:$H$33 = $P$2, ROW('FOOD SVC MANAGEMENT COMPANIES'!$B$6:$B$33)-ROW('FOOD SVC MANAGEMENT COMPANIES'!$B$6)+1 ),  ROWS('FOOD SVC MANAGEMENT COMPANIES'!$B$6:$B13)) ),""), "")</f>
        <v/>
      </c>
      <c r="Q11" s="56" t="str">
        <f>IFERROR(VLOOKUP(P11,'FOOD SVC MANAGEMENT COMPANIES'!$B:$H,9,0),"")</f>
        <v/>
      </c>
      <c r="R11" s="63"/>
      <c r="S11" s="63"/>
      <c r="T11" s="64"/>
      <c r="U11" s="56" t="str">
        <f t="array" ref="U11">IFERROR(IF($U$2 &lt;&gt; "", INDEX('FOOD SVC MANAGEMENT COMPANIES'!$B$6:$B$33,  SMALL( IF( 'FOOD SVC MANAGEMENT COMPANIES'!$D$6:$H$33 = $U$2, ROW('FOOD SVC MANAGEMENT COMPANIES'!$B$6:$B$33)-ROW('FOOD SVC MANAGEMENT COMPANIES'!$B$6)+1 ),  ROWS('FOOD SVC MANAGEMENT COMPANIES'!$B$6:$B13)) ),""), "")</f>
        <v/>
      </c>
      <c r="V11" s="56" t="str">
        <f>IFERROR(VLOOKUP(U11,'FOOD SVC MANAGEMENT COMPANIES'!$B:$H,9,0),"")</f>
        <v/>
      </c>
      <c r="W11" s="63"/>
      <c r="X11" s="63"/>
      <c r="Y11" s="64"/>
      <c r="Z11" s="56" t="str">
        <f t="array" ref="Z11">IFERROR(IF($Z$2 &lt;&gt; "", INDEX('FOOD SVC MANAGEMENT COMPANIES'!$B$6:$B$33,  SMALL( IF( 'FOOD SVC MANAGEMENT COMPANIES'!$D$6:$H$33 = $Z$2, ROW('FOOD SVC MANAGEMENT COMPANIES'!$B$6:$B$33)-ROW('FOOD SVC MANAGEMENT COMPANIES'!$B$6)+1 ),  ROWS('FOOD SVC MANAGEMENT COMPANIES'!$B$6:$B13)) ),""), "")</f>
        <v/>
      </c>
      <c r="AA11" s="56" t="str">
        <f>IFERROR(VLOOKUP(Z11,'FOOD SVC MANAGEMENT COMPANIES'!$B:$H,9,0),"")</f>
        <v/>
      </c>
      <c r="AB11" s="63"/>
      <c r="AC11" s="63"/>
      <c r="AD11" s="64"/>
      <c r="AE11" s="65"/>
      <c r="AF11" s="65"/>
      <c r="AG11" s="65"/>
      <c r="AH11" s="65"/>
      <c r="AI11" s="65"/>
      <c r="AJ11" s="65"/>
      <c r="AK11" s="65"/>
      <c r="AL11" s="65"/>
    </row>
    <row r="12" spans="1:38" s="66" customFormat="1" ht="157.5" x14ac:dyDescent="0.25">
      <c r="A12" s="56" t="str">
        <f t="array" ref="A12">IFERROR(IF($A$2 &lt;&gt; "", INDEX('FOOD SVC MANAGEMENT COMPANIES'!$B$6:$B$33,  SMALL( IF( 'FOOD SVC MANAGEMENT COMPANIES'!$D$6:$H$33 = $A$2, ROW('FOOD SVC MANAGEMENT COMPANIES'!$B$6:$B$33)-ROW('FOOD SVC MANAGEMENT COMPANIES'!$B$6)+1 ),  ROWS('FOOD SVC MANAGEMENT COMPANIES'!$B$6:$B14)) ),""), "")</f>
        <v xml:space="preserve"> a.) If amendments were made, was a material change made?  (NOTE:  Compare all amendments to the original contract to determine if a material change in scope was made such as the addition of other Programs, adding other parties not included in solicitation, investments such as capital equipment, adjustments for which prior approval was not obtained by the State agency or increases in the contract amount to more than the Simplified Acquisition Threshold (2 CFR 200.324(b)(5) or other changes otherwise specified in the solicitation/contract.) (If a material change was made, this is a finding requiring a new solicitation.)</v>
      </c>
      <c r="B12" s="56" t="str">
        <f>IFERROR(VLOOKUP(A12,'FOOD SVC MANAGEMENT COMPANIES'!$B:$H,9,0),"")</f>
        <v/>
      </c>
      <c r="C12" s="63"/>
      <c r="D12" s="63"/>
      <c r="E12" s="64"/>
      <c r="F12" s="56" t="str">
        <f t="array" ref="F12">IFERROR(IF($F$2 &lt;&gt; "", INDEX('FOOD SVC MANAGEMENT COMPANIES'!$B$6:$B$33,  SMALL( IF( 'FOOD SVC MANAGEMENT COMPANIES'!$D$6:$H$33 = $F$2, ROW('FOOD SVC MANAGEMENT COMPANIES'!$B$6:$B$33)-ROW('FOOD SVC MANAGEMENT COMPANIES'!$B$6)+1 ),  ROWS('FOOD SVC MANAGEMENT COMPANIES'!$B$6:$B14)) ),""), "")</f>
        <v/>
      </c>
      <c r="G12" s="56" t="str">
        <f>IFERROR(VLOOKUP(F12,'FOOD SVC MANAGEMENT COMPANIES'!$B:$H,9,0),"")</f>
        <v/>
      </c>
      <c r="H12" s="63"/>
      <c r="I12" s="63"/>
      <c r="J12" s="64"/>
      <c r="K12" s="56" t="str">
        <f t="array" ref="K12">IFERROR(IF($K$2 &lt;&gt; "", INDEX('FOOD SVC MANAGEMENT COMPANIES'!$B$6:$B$33,  SMALL( IF( 'FOOD SVC MANAGEMENT COMPANIES'!$D$6:$H$33 = $K$2, ROW('FOOD SVC MANAGEMENT COMPANIES'!$B$6:$B$33)-ROW('FOOD SVC MANAGEMENT COMPANIES'!$B$6)+1 ),  ROWS('FOOD SVC MANAGEMENT COMPANIES'!$B$6:$B14)) ),""), "")</f>
        <v/>
      </c>
      <c r="L12" s="56" t="str">
        <f>IFERROR(VLOOKUP(K12,'FOOD SVC MANAGEMENT COMPANIES'!$B:$H,9,0),"")</f>
        <v/>
      </c>
      <c r="M12" s="63"/>
      <c r="N12" s="63"/>
      <c r="O12" s="64"/>
      <c r="P12" s="56" t="str">
        <f t="array" ref="P12">IFERROR(IF($P$2 &lt;&gt; "", INDEX('FOOD SVC MANAGEMENT COMPANIES'!$B$6:$B$33,  SMALL( IF( 'FOOD SVC MANAGEMENT COMPANIES'!$D$6:$H$33 = $P$2, ROW('FOOD SVC MANAGEMENT COMPANIES'!$B$6:$B$33)-ROW('FOOD SVC MANAGEMENT COMPANIES'!$B$6)+1 ),  ROWS('FOOD SVC MANAGEMENT COMPANIES'!$B$6:$B14)) ),""), "")</f>
        <v/>
      </c>
      <c r="Q12" s="56" t="str">
        <f>IFERROR(VLOOKUP(P12,'FOOD SVC MANAGEMENT COMPANIES'!$B:$H,9,0),"")</f>
        <v/>
      </c>
      <c r="R12" s="63"/>
      <c r="S12" s="63"/>
      <c r="T12" s="64"/>
      <c r="U12" s="56" t="str">
        <f t="array" ref="U12">IFERROR(IF($U$2 &lt;&gt; "", INDEX('FOOD SVC MANAGEMENT COMPANIES'!$B$6:$B$33,  SMALL( IF( 'FOOD SVC MANAGEMENT COMPANIES'!$D$6:$H$33 = $U$2, ROW('FOOD SVC MANAGEMENT COMPANIES'!$B$6:$B$33)-ROW('FOOD SVC MANAGEMENT COMPANIES'!$B$6)+1 ),  ROWS('FOOD SVC MANAGEMENT COMPANIES'!$B$6:$B14)) ),""), "")</f>
        <v/>
      </c>
      <c r="V12" s="56" t="str">
        <f>IFERROR(VLOOKUP(U12,'FOOD SVC MANAGEMENT COMPANIES'!$B:$H,9,0),"")</f>
        <v/>
      </c>
      <c r="W12" s="63"/>
      <c r="X12" s="63"/>
      <c r="Y12" s="64"/>
      <c r="Z12" s="56" t="str">
        <f t="array" ref="Z12">IFERROR(IF($Z$2 &lt;&gt; "", INDEX('FOOD SVC MANAGEMENT COMPANIES'!$B$6:$B$33,  SMALL( IF( 'FOOD SVC MANAGEMENT COMPANIES'!$D$6:$H$33 = $Z$2, ROW('FOOD SVC MANAGEMENT COMPANIES'!$B$6:$B$33)-ROW('FOOD SVC MANAGEMENT COMPANIES'!$B$6)+1 ),  ROWS('FOOD SVC MANAGEMENT COMPANIES'!$B$6:$B14)) ),""), "")</f>
        <v/>
      </c>
      <c r="AA12" s="56" t="str">
        <f>IFERROR(VLOOKUP(Z12,'FOOD SVC MANAGEMENT COMPANIES'!$B:$H,9,0),"")</f>
        <v/>
      </c>
      <c r="AB12" s="63"/>
      <c r="AC12" s="63"/>
      <c r="AD12" s="64"/>
      <c r="AE12" s="65"/>
      <c r="AF12" s="65"/>
      <c r="AG12" s="65"/>
      <c r="AH12" s="65"/>
      <c r="AI12" s="65"/>
      <c r="AJ12" s="65"/>
      <c r="AK12" s="65"/>
      <c r="AL12" s="65"/>
    </row>
    <row r="13" spans="1:38" s="66" customFormat="1" ht="63" x14ac:dyDescent="0.25">
      <c r="A13" s="56" t="str">
        <f t="array" ref="A13">IFERROR(IF($A$2 &lt;&gt; "", INDEX('FOOD SVC MANAGEMENT COMPANIES'!$B$6:$B$33,  SMALL( IF( 'FOOD SVC MANAGEMENT COMPANIES'!$D$6:$H$33 = $A$2, ROW('FOOD SVC MANAGEMENT COMPANIES'!$B$6:$B$33)-ROW('FOOD SVC MANAGEMENT COMPANIES'!$B$6)+1 ),  ROWS('FOOD SVC MANAGEMENT COMPANIES'!$B$6:$B15)) ),""), "")</f>
        <v xml:space="preserve">2) Is the SFA compliant with excluding unallowable costs added to the contract? [NOTE: scholarships, grants, gifts, playground equipment, scoreboards, etc. The nonprofit food service account is only for operating and improving the food service.] </v>
      </c>
      <c r="B13" s="56" t="str">
        <f>IFERROR(VLOOKUP(A13,'FOOD SVC MANAGEMENT COMPANIES'!$B:$H,9,0),"")</f>
        <v/>
      </c>
      <c r="C13" s="63"/>
      <c r="D13" s="63"/>
      <c r="E13" s="64"/>
      <c r="F13" s="56" t="str">
        <f t="array" ref="F13">IFERROR(IF($F$2 &lt;&gt; "", INDEX('FOOD SVC MANAGEMENT COMPANIES'!$B$6:$B$33,  SMALL( IF( 'FOOD SVC MANAGEMENT COMPANIES'!$D$6:$H$33 = $F$2, ROW('FOOD SVC MANAGEMENT COMPANIES'!$B$6:$B$33)-ROW('FOOD SVC MANAGEMENT COMPANIES'!$B$6)+1 ),  ROWS('FOOD SVC MANAGEMENT COMPANIES'!$B$6:$B15)) ),""), "")</f>
        <v/>
      </c>
      <c r="G13" s="56" t="str">
        <f>IFERROR(VLOOKUP(F13,'FOOD SVC MANAGEMENT COMPANIES'!$B:$H,9,0),"")</f>
        <v/>
      </c>
      <c r="H13" s="63"/>
      <c r="I13" s="63"/>
      <c r="J13" s="64"/>
      <c r="K13" s="56" t="str">
        <f t="array" ref="K13">IFERROR(IF($K$2 &lt;&gt; "", INDEX('FOOD SVC MANAGEMENT COMPANIES'!$B$6:$B$33,  SMALL( IF( 'FOOD SVC MANAGEMENT COMPANIES'!$D$6:$H$33 = $K$2, ROW('FOOD SVC MANAGEMENT COMPANIES'!$B$6:$B$33)-ROW('FOOD SVC MANAGEMENT COMPANIES'!$B$6)+1 ),  ROWS('FOOD SVC MANAGEMENT COMPANIES'!$B$6:$B15)) ),""), "")</f>
        <v/>
      </c>
      <c r="L13" s="56" t="str">
        <f>IFERROR(VLOOKUP(K13,'FOOD SVC MANAGEMENT COMPANIES'!$B:$H,9,0),"")</f>
        <v/>
      </c>
      <c r="M13" s="63"/>
      <c r="N13" s="63"/>
      <c r="O13" s="64"/>
      <c r="P13" s="56" t="str">
        <f t="array" ref="P13">IFERROR(IF($P$2 &lt;&gt; "", INDEX('FOOD SVC MANAGEMENT COMPANIES'!$B$6:$B$33,  SMALL( IF( 'FOOD SVC MANAGEMENT COMPANIES'!$D$6:$H$33 = $P$2, ROW('FOOD SVC MANAGEMENT COMPANIES'!$B$6:$B$33)-ROW('FOOD SVC MANAGEMENT COMPANIES'!$B$6)+1 ),  ROWS('FOOD SVC MANAGEMENT COMPANIES'!$B$6:$B15)) ),""), "")</f>
        <v/>
      </c>
      <c r="Q13" s="56" t="str">
        <f>IFERROR(VLOOKUP(P13,'FOOD SVC MANAGEMENT COMPANIES'!$B:$H,9,0),"")</f>
        <v/>
      </c>
      <c r="R13" s="63"/>
      <c r="S13" s="63"/>
      <c r="T13" s="64"/>
      <c r="U13" s="56" t="str">
        <f t="array" ref="U13">IFERROR(IF($U$2 &lt;&gt; "", INDEX('FOOD SVC MANAGEMENT COMPANIES'!$B$6:$B$33,  SMALL( IF( 'FOOD SVC MANAGEMENT COMPANIES'!$D$6:$H$33 = $U$2, ROW('FOOD SVC MANAGEMENT COMPANIES'!$B$6:$B$33)-ROW('FOOD SVC MANAGEMENT COMPANIES'!$B$6)+1 ),  ROWS('FOOD SVC MANAGEMENT COMPANIES'!$B$6:$B15)) ),""), "")</f>
        <v/>
      </c>
      <c r="V13" s="56" t="str">
        <f>IFERROR(VLOOKUP(U13,'FOOD SVC MANAGEMENT COMPANIES'!$B:$H,9,0),"")</f>
        <v/>
      </c>
      <c r="W13" s="63"/>
      <c r="X13" s="63"/>
      <c r="Y13" s="64"/>
      <c r="Z13" s="56" t="str">
        <f t="array" ref="Z13">IFERROR(IF($Z$2 &lt;&gt; "", INDEX('FOOD SVC MANAGEMENT COMPANIES'!$B$6:$B$33,  SMALL( IF( 'FOOD SVC MANAGEMENT COMPANIES'!$D$6:$H$33 = $Z$2, ROW('FOOD SVC MANAGEMENT COMPANIES'!$B$6:$B$33)-ROW('FOOD SVC MANAGEMENT COMPANIES'!$B$6)+1 ),  ROWS('FOOD SVC MANAGEMENT COMPANIES'!$B$6:$B15)) ),""), "")</f>
        <v/>
      </c>
      <c r="AA13" s="56" t="str">
        <f>IFERROR(VLOOKUP(Z13,'FOOD SVC MANAGEMENT COMPANIES'!$B:$H,9,0),"")</f>
        <v/>
      </c>
      <c r="AB13" s="63"/>
      <c r="AC13" s="63"/>
      <c r="AD13" s="64"/>
      <c r="AE13" s="65"/>
      <c r="AF13" s="65"/>
      <c r="AG13" s="65"/>
      <c r="AH13" s="65"/>
      <c r="AI13" s="65"/>
      <c r="AJ13" s="65"/>
      <c r="AK13" s="65"/>
      <c r="AL13" s="65"/>
    </row>
    <row r="14" spans="1:38" s="66" customFormat="1" ht="63" x14ac:dyDescent="0.25">
      <c r="A14" s="56" t="str">
        <f t="array" ref="A14">IFERROR(IF($A$2 &lt;&gt; "", INDEX('FOOD SVC MANAGEMENT COMPANIES'!$B$6:$B$33,  SMALL( IF( 'FOOD SVC MANAGEMENT COMPANIES'!$D$6:$H$33 = $A$2, ROW('FOOD SVC MANAGEMENT COMPANIES'!$B$6:$B$33)-ROW('FOOD SVC MANAGEMENT COMPANIES'!$B$6)+1 ),  ROWS('FOOD SVC MANAGEMENT COMPANIES'!$B$6:$B16)) ),""), "")</f>
        <v xml:space="preserve">2) Is the SFA compliant with excluding unallowable costs added to the contract? [NOTE: scholarships, grants, gifts, playground equipment, scoreboards, etc. The nonprofit food service account is only for operating and improving the food service.] </v>
      </c>
      <c r="B14" s="56" t="str">
        <f>IFERROR(VLOOKUP(A14,'FOOD SVC MANAGEMENT COMPANIES'!$B:$H,9,0),"")</f>
        <v/>
      </c>
      <c r="C14" s="63"/>
      <c r="D14" s="63"/>
      <c r="E14" s="64"/>
      <c r="F14" s="56" t="str">
        <f t="array" ref="F14">IFERROR(IF($F$2 &lt;&gt; "", INDEX('FOOD SVC MANAGEMENT COMPANIES'!$B$6:$B$33,  SMALL( IF( 'FOOD SVC MANAGEMENT COMPANIES'!$D$6:$H$33 = $F$2, ROW('FOOD SVC MANAGEMENT COMPANIES'!$B$6:$B$33)-ROW('FOOD SVC MANAGEMENT COMPANIES'!$B$6)+1 ),  ROWS('FOOD SVC MANAGEMENT COMPANIES'!$B$6:$B16)) ),""), "")</f>
        <v/>
      </c>
      <c r="G14" s="56" t="str">
        <f>IFERROR(VLOOKUP(F14,'FOOD SVC MANAGEMENT COMPANIES'!$B:$H,9,0),"")</f>
        <v/>
      </c>
      <c r="H14" s="63"/>
      <c r="I14" s="63"/>
      <c r="J14" s="64"/>
      <c r="K14" s="56" t="str">
        <f t="array" ref="K14">IFERROR(IF($K$2 &lt;&gt; "", INDEX('FOOD SVC MANAGEMENT COMPANIES'!$B$6:$B$33,  SMALL( IF( 'FOOD SVC MANAGEMENT COMPANIES'!$D$6:$H$33 = $K$2, ROW('FOOD SVC MANAGEMENT COMPANIES'!$B$6:$B$33)-ROW('FOOD SVC MANAGEMENT COMPANIES'!$B$6)+1 ),  ROWS('FOOD SVC MANAGEMENT COMPANIES'!$B$6:$B16)) ),""), "")</f>
        <v/>
      </c>
      <c r="L14" s="56" t="str">
        <f>IFERROR(VLOOKUP(K14,'FOOD SVC MANAGEMENT COMPANIES'!$B:$H,9,0),"")</f>
        <v/>
      </c>
      <c r="M14" s="63"/>
      <c r="N14" s="63"/>
      <c r="O14" s="64"/>
      <c r="P14" s="56" t="str">
        <f t="array" ref="P14">IFERROR(IF($P$2 &lt;&gt; "", INDEX('FOOD SVC MANAGEMENT COMPANIES'!$B$6:$B$33,  SMALL( IF( 'FOOD SVC MANAGEMENT COMPANIES'!$D$6:$H$33 = $P$2, ROW('FOOD SVC MANAGEMENT COMPANIES'!$B$6:$B$33)-ROW('FOOD SVC MANAGEMENT COMPANIES'!$B$6)+1 ),  ROWS('FOOD SVC MANAGEMENT COMPANIES'!$B$6:$B16)) ),""), "")</f>
        <v/>
      </c>
      <c r="Q14" s="56" t="str">
        <f>IFERROR(VLOOKUP(P14,'FOOD SVC MANAGEMENT COMPANIES'!$B:$H,9,0),"")</f>
        <v/>
      </c>
      <c r="R14" s="63"/>
      <c r="S14" s="63"/>
      <c r="T14" s="64"/>
      <c r="U14" s="56" t="str">
        <f t="array" ref="U14">IFERROR(IF($U$2 &lt;&gt; "", INDEX('FOOD SVC MANAGEMENT COMPANIES'!$B$6:$B$33,  SMALL( IF( 'FOOD SVC MANAGEMENT COMPANIES'!$D$6:$H$33 = $U$2, ROW('FOOD SVC MANAGEMENT COMPANIES'!$B$6:$B$33)-ROW('FOOD SVC MANAGEMENT COMPANIES'!$B$6)+1 ),  ROWS('FOOD SVC MANAGEMENT COMPANIES'!$B$6:$B16)) ),""), "")</f>
        <v/>
      </c>
      <c r="V14" s="56" t="str">
        <f>IFERROR(VLOOKUP(U14,'FOOD SVC MANAGEMENT COMPANIES'!$B:$H,9,0),"")</f>
        <v/>
      </c>
      <c r="W14" s="63"/>
      <c r="X14" s="63"/>
      <c r="Y14" s="64"/>
      <c r="Z14" s="56" t="str">
        <f t="array" ref="Z14">IFERROR(IF($Z$2 &lt;&gt; "", INDEX('FOOD SVC MANAGEMENT COMPANIES'!$B$6:$B$33,  SMALL( IF( 'FOOD SVC MANAGEMENT COMPANIES'!$D$6:$H$33 = $Z$2, ROW('FOOD SVC MANAGEMENT COMPANIES'!$B$6:$B$33)-ROW('FOOD SVC MANAGEMENT COMPANIES'!$B$6)+1 ),  ROWS('FOOD SVC MANAGEMENT COMPANIES'!$B$6:$B16)) ),""), "")</f>
        <v/>
      </c>
      <c r="AA14" s="56" t="str">
        <f>IFERROR(VLOOKUP(Z14,'FOOD SVC MANAGEMENT COMPANIES'!$B:$H,9,0),"")</f>
        <v/>
      </c>
      <c r="AB14" s="63"/>
      <c r="AC14" s="63"/>
      <c r="AD14" s="64"/>
      <c r="AE14" s="65"/>
      <c r="AF14" s="65"/>
      <c r="AG14" s="65"/>
      <c r="AH14" s="65"/>
      <c r="AI14" s="65"/>
      <c r="AJ14" s="65"/>
      <c r="AK14" s="65"/>
      <c r="AL14" s="65"/>
    </row>
    <row r="15" spans="1:38" s="66" customFormat="1" ht="63" x14ac:dyDescent="0.25">
      <c r="A15" s="56" t="str">
        <f t="array" ref="A15">IFERROR(IF($A$2 &lt;&gt; "", INDEX('FOOD SVC MANAGEMENT COMPANIES'!$B$6:$B$33,  SMALL( IF( 'FOOD SVC MANAGEMENT COMPANIES'!$D$6:$H$33 = $A$2, ROW('FOOD SVC MANAGEMENT COMPANIES'!$B$6:$B$33)-ROW('FOOD SVC MANAGEMENT COMPANIES'!$B$6)+1 ),  ROWS('FOOD SVC MANAGEMENT COMPANIES'!$B$6:$B17)) ),""), "")</f>
        <v xml:space="preserve">2) Is the SFA compliant with excluding unallowable costs added to the contract? [NOTE: scholarships, grants, gifts, playground equipment, scoreboards, etc. The nonprofit food service account is only for operating and improving the food service.] </v>
      </c>
      <c r="B15" s="56" t="str">
        <f>IFERROR(VLOOKUP(A15,'FOOD SVC MANAGEMENT COMPANIES'!$B:$H,9,0),"")</f>
        <v/>
      </c>
      <c r="C15" s="63"/>
      <c r="D15" s="63"/>
      <c r="E15" s="64"/>
      <c r="F15" s="56" t="str">
        <f t="array" ref="F15">IFERROR(IF($F$2 &lt;&gt; "", INDEX('FOOD SVC MANAGEMENT COMPANIES'!$B$6:$B$33,  SMALL( IF( 'FOOD SVC MANAGEMENT COMPANIES'!$D$6:$H$33 = $F$2, ROW('FOOD SVC MANAGEMENT COMPANIES'!$B$6:$B$33)-ROW('FOOD SVC MANAGEMENT COMPANIES'!$B$6)+1 ),  ROWS('FOOD SVC MANAGEMENT COMPANIES'!$B$6:$B17)) ),""), "")</f>
        <v/>
      </c>
      <c r="G15" s="56" t="str">
        <f>IFERROR(VLOOKUP(F15,'FOOD SVC MANAGEMENT COMPANIES'!$B:$H,9,0),"")</f>
        <v/>
      </c>
      <c r="H15" s="63"/>
      <c r="I15" s="63"/>
      <c r="J15" s="64"/>
      <c r="K15" s="56" t="str">
        <f t="array" ref="K15">IFERROR(IF($K$2 &lt;&gt; "", INDEX('FOOD SVC MANAGEMENT COMPANIES'!$B$6:$B$33,  SMALL( IF( 'FOOD SVC MANAGEMENT COMPANIES'!$D$6:$H$33 = $K$2, ROW('FOOD SVC MANAGEMENT COMPANIES'!$B$6:$B$33)-ROW('FOOD SVC MANAGEMENT COMPANIES'!$B$6)+1 ),  ROWS('FOOD SVC MANAGEMENT COMPANIES'!$B$6:$B17)) ),""), "")</f>
        <v/>
      </c>
      <c r="L15" s="56" t="str">
        <f>IFERROR(VLOOKUP(K15,'FOOD SVC MANAGEMENT COMPANIES'!$B:$H,9,0),"")</f>
        <v/>
      </c>
      <c r="M15" s="63"/>
      <c r="N15" s="63"/>
      <c r="O15" s="64"/>
      <c r="P15" s="56" t="str">
        <f t="array" ref="P15">IFERROR(IF($P$2 &lt;&gt; "", INDEX('FOOD SVC MANAGEMENT COMPANIES'!$B$6:$B$33,  SMALL( IF( 'FOOD SVC MANAGEMENT COMPANIES'!$D$6:$H$33 = $P$2, ROW('FOOD SVC MANAGEMENT COMPANIES'!$B$6:$B$33)-ROW('FOOD SVC MANAGEMENT COMPANIES'!$B$6)+1 ),  ROWS('FOOD SVC MANAGEMENT COMPANIES'!$B$6:$B17)) ),""), "")</f>
        <v/>
      </c>
      <c r="Q15" s="56" t="str">
        <f>IFERROR(VLOOKUP(P15,'FOOD SVC MANAGEMENT COMPANIES'!$B:$H,9,0),"")</f>
        <v/>
      </c>
      <c r="R15" s="63"/>
      <c r="S15" s="63"/>
      <c r="T15" s="64"/>
      <c r="U15" s="56" t="str">
        <f t="array" ref="U15">IFERROR(IF($U$2 &lt;&gt; "", INDEX('FOOD SVC MANAGEMENT COMPANIES'!$B$6:$B$33,  SMALL( IF( 'FOOD SVC MANAGEMENT COMPANIES'!$D$6:$H$33 = $U$2, ROW('FOOD SVC MANAGEMENT COMPANIES'!$B$6:$B$33)-ROW('FOOD SVC MANAGEMENT COMPANIES'!$B$6)+1 ),  ROWS('FOOD SVC MANAGEMENT COMPANIES'!$B$6:$B17)) ),""), "")</f>
        <v/>
      </c>
      <c r="V15" s="56" t="str">
        <f>IFERROR(VLOOKUP(U15,'FOOD SVC MANAGEMENT COMPANIES'!$B:$H,9,0),"")</f>
        <v/>
      </c>
      <c r="W15" s="63"/>
      <c r="X15" s="63"/>
      <c r="Y15" s="64"/>
      <c r="Z15" s="56" t="str">
        <f t="array" ref="Z15">IFERROR(IF($Z$2 &lt;&gt; "", INDEX('FOOD SVC MANAGEMENT COMPANIES'!$B$6:$B$33,  SMALL( IF( 'FOOD SVC MANAGEMENT COMPANIES'!$D$6:$H$33 = $Z$2, ROW('FOOD SVC MANAGEMENT COMPANIES'!$B$6:$B$33)-ROW('FOOD SVC MANAGEMENT COMPANIES'!$B$6)+1 ),  ROWS('FOOD SVC MANAGEMENT COMPANIES'!$B$6:$B17)) ),""), "")</f>
        <v/>
      </c>
      <c r="AA15" s="56" t="str">
        <f>IFERROR(VLOOKUP(Z15,'FOOD SVC MANAGEMENT COMPANIES'!$B:$H,9,0),"")</f>
        <v/>
      </c>
      <c r="AB15" s="63"/>
      <c r="AC15" s="63"/>
      <c r="AD15" s="64"/>
      <c r="AE15" s="65"/>
      <c r="AF15" s="65"/>
      <c r="AG15" s="65"/>
      <c r="AH15" s="65"/>
      <c r="AI15" s="65"/>
      <c r="AJ15" s="65"/>
      <c r="AK15" s="65"/>
      <c r="AL15" s="65"/>
    </row>
    <row r="16" spans="1:38" s="66" customFormat="1" ht="63" x14ac:dyDescent="0.25">
      <c r="A16" s="56" t="str">
        <f t="array" ref="A16">IFERROR(IF($A$2 &lt;&gt; "", INDEX('FOOD SVC MANAGEMENT COMPANIES'!$B$6:$B$33,  SMALL( IF( 'FOOD SVC MANAGEMENT COMPANIES'!$D$6:$H$33 = $A$2, ROW('FOOD SVC MANAGEMENT COMPANIES'!$B$6:$B$33)-ROW('FOOD SVC MANAGEMENT COMPANIES'!$B$6)+1 ),  ROWS('FOOD SVC MANAGEMENT COMPANIES'!$B$6:$B18)) ),""), "")</f>
        <v xml:space="preserve">2) Is the SFA compliant with excluding unallowable costs added to the contract? [NOTE: scholarships, grants, gifts, playground equipment, scoreboards, etc. The nonprofit food service account is only for operating and improving the food service.] </v>
      </c>
      <c r="B16" s="56" t="str">
        <f>IFERROR(VLOOKUP(A16,'FOOD SVC MANAGEMENT COMPANIES'!$B:$H,9,0),"")</f>
        <v/>
      </c>
      <c r="C16" s="63"/>
      <c r="D16" s="63"/>
      <c r="E16" s="64"/>
      <c r="F16" s="56" t="str">
        <f t="array" ref="F16">IFERROR(IF($F$2 &lt;&gt; "", INDEX('FOOD SVC MANAGEMENT COMPANIES'!$B$6:$B$33,  SMALL( IF( 'FOOD SVC MANAGEMENT COMPANIES'!$D$6:$H$33 = $F$2, ROW('FOOD SVC MANAGEMENT COMPANIES'!$B$6:$B$33)-ROW('FOOD SVC MANAGEMENT COMPANIES'!$B$6)+1 ),  ROWS('FOOD SVC MANAGEMENT COMPANIES'!$B$6:$B18)) ),""), "")</f>
        <v/>
      </c>
      <c r="G16" s="56" t="str">
        <f>IFERROR(VLOOKUP(F16,'FOOD SVC MANAGEMENT COMPANIES'!$B:$H,9,0),"")</f>
        <v/>
      </c>
      <c r="H16" s="63"/>
      <c r="I16" s="63"/>
      <c r="J16" s="64"/>
      <c r="K16" s="56" t="str">
        <f t="array" ref="K16">IFERROR(IF($K$2 &lt;&gt; "", INDEX('FOOD SVC MANAGEMENT COMPANIES'!$B$6:$B$33,  SMALL( IF( 'FOOD SVC MANAGEMENT COMPANIES'!$D$6:$H$33 = $K$2, ROW('FOOD SVC MANAGEMENT COMPANIES'!$B$6:$B$33)-ROW('FOOD SVC MANAGEMENT COMPANIES'!$B$6)+1 ),  ROWS('FOOD SVC MANAGEMENT COMPANIES'!$B$6:$B18)) ),""), "")</f>
        <v/>
      </c>
      <c r="L16" s="56" t="str">
        <f>IFERROR(VLOOKUP(K16,'FOOD SVC MANAGEMENT COMPANIES'!$B:$H,9,0),"")</f>
        <v/>
      </c>
      <c r="M16" s="63"/>
      <c r="N16" s="63"/>
      <c r="O16" s="64"/>
      <c r="P16" s="56" t="str">
        <f t="array" ref="P16">IFERROR(IF($P$2 &lt;&gt; "", INDEX('FOOD SVC MANAGEMENT COMPANIES'!$B$6:$B$33,  SMALL( IF( 'FOOD SVC MANAGEMENT COMPANIES'!$D$6:$H$33 = $P$2, ROW('FOOD SVC MANAGEMENT COMPANIES'!$B$6:$B$33)-ROW('FOOD SVC MANAGEMENT COMPANIES'!$B$6)+1 ),  ROWS('FOOD SVC MANAGEMENT COMPANIES'!$B$6:$B18)) ),""), "")</f>
        <v/>
      </c>
      <c r="Q16" s="56" t="str">
        <f>IFERROR(VLOOKUP(P16,'FOOD SVC MANAGEMENT COMPANIES'!$B:$H,9,0),"")</f>
        <v/>
      </c>
      <c r="R16" s="63"/>
      <c r="S16" s="63"/>
      <c r="T16" s="64"/>
      <c r="U16" s="56" t="str">
        <f t="array" ref="U16">IFERROR(IF($U$2 &lt;&gt; "", INDEX('FOOD SVC MANAGEMENT COMPANIES'!$B$6:$B$33,  SMALL( IF( 'FOOD SVC MANAGEMENT COMPANIES'!$D$6:$H$33 = $U$2, ROW('FOOD SVC MANAGEMENT COMPANIES'!$B$6:$B$33)-ROW('FOOD SVC MANAGEMENT COMPANIES'!$B$6)+1 ),  ROWS('FOOD SVC MANAGEMENT COMPANIES'!$B$6:$B18)) ),""), "")</f>
        <v/>
      </c>
      <c r="V16" s="56" t="str">
        <f>IFERROR(VLOOKUP(U16,'FOOD SVC MANAGEMENT COMPANIES'!$B:$H,9,0),"")</f>
        <v/>
      </c>
      <c r="W16" s="63"/>
      <c r="X16" s="63"/>
      <c r="Y16" s="64"/>
      <c r="Z16" s="56" t="str">
        <f t="array" ref="Z16">IFERROR(IF($Z$2 &lt;&gt; "", INDEX('FOOD SVC MANAGEMENT COMPANIES'!$B$6:$B$33,  SMALL( IF( 'FOOD SVC MANAGEMENT COMPANIES'!$D$6:$H$33 = $Z$2, ROW('FOOD SVC MANAGEMENT COMPANIES'!$B$6:$B$33)-ROW('FOOD SVC MANAGEMENT COMPANIES'!$B$6)+1 ),  ROWS('FOOD SVC MANAGEMENT COMPANIES'!$B$6:$B18)) ),""), "")</f>
        <v/>
      </c>
      <c r="AA16" s="56" t="str">
        <f>IFERROR(VLOOKUP(Z16,'FOOD SVC MANAGEMENT COMPANIES'!$B:$H,9,0),"")</f>
        <v/>
      </c>
      <c r="AB16" s="63"/>
      <c r="AC16" s="63"/>
      <c r="AD16" s="64"/>
      <c r="AE16" s="65"/>
      <c r="AF16" s="65"/>
      <c r="AG16" s="65"/>
      <c r="AH16" s="65"/>
      <c r="AI16" s="65"/>
      <c r="AJ16" s="65"/>
      <c r="AK16" s="65"/>
      <c r="AL16" s="65"/>
    </row>
    <row r="17" spans="1:38" s="66" customFormat="1" ht="63" x14ac:dyDescent="0.25">
      <c r="A17" s="56" t="str">
        <f t="array" ref="A17">IFERROR(IF($A$2 &lt;&gt; "", INDEX('FOOD SVC MANAGEMENT COMPANIES'!$B$6:$B$33,  SMALL( IF( 'FOOD SVC MANAGEMENT COMPANIES'!$D$6:$H$33 = $A$2, ROW('FOOD SVC MANAGEMENT COMPANIES'!$B$6:$B$33)-ROW('FOOD SVC MANAGEMENT COMPANIES'!$B$6)+1 ),  ROWS('FOOD SVC MANAGEMENT COMPANIES'!$B$6:$B19)) ),""), "")</f>
        <v xml:space="preserve">2) Is the SFA compliant with excluding unallowable costs added to the contract? [NOTE: scholarships, grants, gifts, playground equipment, scoreboards, etc. The nonprofit food service account is only for operating and improving the food service.] </v>
      </c>
      <c r="B17" s="56" t="str">
        <f>IFERROR(VLOOKUP(A17,'FOOD SVC MANAGEMENT COMPANIES'!$B:$H,9,0),"")</f>
        <v/>
      </c>
      <c r="C17" s="63"/>
      <c r="D17" s="63"/>
      <c r="E17" s="64"/>
      <c r="F17" s="56" t="str">
        <f t="array" ref="F17">IFERROR(IF($F$2 &lt;&gt; "", INDEX('FOOD SVC MANAGEMENT COMPANIES'!$B$6:$B$33,  SMALL( IF( 'FOOD SVC MANAGEMENT COMPANIES'!$D$6:$H$33 = $F$2, ROW('FOOD SVC MANAGEMENT COMPANIES'!$B$6:$B$33)-ROW('FOOD SVC MANAGEMENT COMPANIES'!$B$6)+1 ),  ROWS('FOOD SVC MANAGEMENT COMPANIES'!$B$6:$B19)) ),""), "")</f>
        <v/>
      </c>
      <c r="G17" s="56" t="str">
        <f>IFERROR(VLOOKUP(F17,'FOOD SVC MANAGEMENT COMPANIES'!$B:$H,9,0),"")</f>
        <v/>
      </c>
      <c r="H17" s="63"/>
      <c r="I17" s="63"/>
      <c r="J17" s="64"/>
      <c r="K17" s="56" t="str">
        <f t="array" ref="K17">IFERROR(IF($K$2 &lt;&gt; "", INDEX('FOOD SVC MANAGEMENT COMPANIES'!$B$6:$B$33,  SMALL( IF( 'FOOD SVC MANAGEMENT COMPANIES'!$D$6:$H$33 = $K$2, ROW('FOOD SVC MANAGEMENT COMPANIES'!$B$6:$B$33)-ROW('FOOD SVC MANAGEMENT COMPANIES'!$B$6)+1 ),  ROWS('FOOD SVC MANAGEMENT COMPANIES'!$B$6:$B19)) ),""), "")</f>
        <v/>
      </c>
      <c r="L17" s="56" t="str">
        <f>IFERROR(VLOOKUP(K17,'FOOD SVC MANAGEMENT COMPANIES'!$B:$H,9,0),"")</f>
        <v/>
      </c>
      <c r="M17" s="63"/>
      <c r="N17" s="63"/>
      <c r="O17" s="64"/>
      <c r="P17" s="56" t="str">
        <f t="array" ref="P17">IFERROR(IF($P$2 &lt;&gt; "", INDEX('FOOD SVC MANAGEMENT COMPANIES'!$B$6:$B$33,  SMALL( IF( 'FOOD SVC MANAGEMENT COMPANIES'!$D$6:$H$33 = $P$2, ROW('FOOD SVC MANAGEMENT COMPANIES'!$B$6:$B$33)-ROW('FOOD SVC MANAGEMENT COMPANIES'!$B$6)+1 ),  ROWS('FOOD SVC MANAGEMENT COMPANIES'!$B$6:$B19)) ),""), "")</f>
        <v/>
      </c>
      <c r="Q17" s="56" t="str">
        <f>IFERROR(VLOOKUP(P17,'FOOD SVC MANAGEMENT COMPANIES'!$B:$H,9,0),"")</f>
        <v/>
      </c>
      <c r="R17" s="63"/>
      <c r="S17" s="63"/>
      <c r="T17" s="64"/>
      <c r="U17" s="56" t="str">
        <f t="array" ref="U17">IFERROR(IF($U$2 &lt;&gt; "", INDEX('FOOD SVC MANAGEMENT COMPANIES'!$B$6:$B$33,  SMALL( IF( 'FOOD SVC MANAGEMENT COMPANIES'!$D$6:$H$33 = $U$2, ROW('FOOD SVC MANAGEMENT COMPANIES'!$B$6:$B$33)-ROW('FOOD SVC MANAGEMENT COMPANIES'!$B$6)+1 ),  ROWS('FOOD SVC MANAGEMENT COMPANIES'!$B$6:$B19)) ),""), "")</f>
        <v/>
      </c>
      <c r="V17" s="56" t="str">
        <f>IFERROR(VLOOKUP(U17,'FOOD SVC MANAGEMENT COMPANIES'!$B:$H,9,0),"")</f>
        <v/>
      </c>
      <c r="W17" s="63"/>
      <c r="X17" s="63"/>
      <c r="Y17" s="64"/>
      <c r="Z17" s="56" t="str">
        <f t="array" ref="Z17">IFERROR(IF($Z$2 &lt;&gt; "", INDEX('FOOD SVC MANAGEMENT COMPANIES'!$B$6:$B$33,  SMALL( IF( 'FOOD SVC MANAGEMENT COMPANIES'!$D$6:$H$33 = $Z$2, ROW('FOOD SVC MANAGEMENT COMPANIES'!$B$6:$B$33)-ROW('FOOD SVC MANAGEMENT COMPANIES'!$B$6)+1 ),  ROWS('FOOD SVC MANAGEMENT COMPANIES'!$B$6:$B19)) ),""), "")</f>
        <v/>
      </c>
      <c r="AA17" s="56" t="str">
        <f>IFERROR(VLOOKUP(Z17,'FOOD SVC MANAGEMENT COMPANIES'!$B:$H,9,0),"")</f>
        <v/>
      </c>
      <c r="AB17" s="63"/>
      <c r="AC17" s="63"/>
      <c r="AD17" s="64"/>
      <c r="AE17" s="65"/>
      <c r="AF17" s="65"/>
      <c r="AG17" s="65"/>
      <c r="AH17" s="65"/>
      <c r="AI17" s="65"/>
      <c r="AJ17" s="65"/>
      <c r="AK17" s="65"/>
      <c r="AL17" s="65"/>
    </row>
    <row r="18" spans="1:38" s="66" customFormat="1" ht="15.75" x14ac:dyDescent="0.25">
      <c r="A18" s="56">
        <f t="array" ref="A18">IFERROR(IF($A$2 &lt;&gt; "", INDEX('FOOD SVC MANAGEMENT COMPANIES'!$B$6:$B$33,  SMALL( IF( 'FOOD SVC MANAGEMENT COMPANIES'!$D$6:$H$33 = $A$2, ROW('FOOD SVC MANAGEMENT COMPANIES'!$B$6:$B$33)-ROW('FOOD SVC MANAGEMENT COMPANIES'!$B$6)+1 ),  ROWS('FOOD SVC MANAGEMENT COMPANIES'!$B$6:$B20)) ),""), "")</f>
        <v>0</v>
      </c>
      <c r="B18" s="56" t="str">
        <f>IFERROR(VLOOKUP(A18,'FOOD SVC MANAGEMENT COMPANIES'!$B:$H,9,0),"")</f>
        <v/>
      </c>
      <c r="C18" s="63"/>
      <c r="D18" s="63"/>
      <c r="E18" s="64"/>
      <c r="F18" s="56" t="str">
        <f t="array" ref="F18">IFERROR(IF($F$2 &lt;&gt; "", INDEX('FOOD SVC MANAGEMENT COMPANIES'!$B$6:$B$33,  SMALL( IF( 'FOOD SVC MANAGEMENT COMPANIES'!$D$6:$H$33 = $F$2, ROW('FOOD SVC MANAGEMENT COMPANIES'!$B$6:$B$33)-ROW('FOOD SVC MANAGEMENT COMPANIES'!$B$6)+1 ),  ROWS('FOOD SVC MANAGEMENT COMPANIES'!$B$6:$B20)) ),""), "")</f>
        <v/>
      </c>
      <c r="G18" s="56" t="str">
        <f>IFERROR(VLOOKUP(F18,'FOOD SVC MANAGEMENT COMPANIES'!$B:$H,9,0),"")</f>
        <v/>
      </c>
      <c r="H18" s="63"/>
      <c r="I18" s="63"/>
      <c r="J18" s="64"/>
      <c r="K18" s="56" t="str">
        <f t="array" ref="K18">IFERROR(IF($K$2 &lt;&gt; "", INDEX('FOOD SVC MANAGEMENT COMPANIES'!$B$6:$B$33,  SMALL( IF( 'FOOD SVC MANAGEMENT COMPANIES'!$D$6:$H$33 = $K$2, ROW('FOOD SVC MANAGEMENT COMPANIES'!$B$6:$B$33)-ROW('FOOD SVC MANAGEMENT COMPANIES'!$B$6)+1 ),  ROWS('FOOD SVC MANAGEMENT COMPANIES'!$B$6:$B20)) ),""), "")</f>
        <v/>
      </c>
      <c r="L18" s="56" t="str">
        <f>IFERROR(VLOOKUP(K18,'FOOD SVC MANAGEMENT COMPANIES'!$B:$H,9,0),"")</f>
        <v/>
      </c>
      <c r="M18" s="63"/>
      <c r="N18" s="63"/>
      <c r="O18" s="64"/>
      <c r="P18" s="56" t="str">
        <f t="array" ref="P18">IFERROR(IF($P$2 &lt;&gt; "", INDEX('FOOD SVC MANAGEMENT COMPANIES'!$B$6:$B$33,  SMALL( IF( 'FOOD SVC MANAGEMENT COMPANIES'!$D$6:$H$33 = $P$2, ROW('FOOD SVC MANAGEMENT COMPANIES'!$B$6:$B$33)-ROW('FOOD SVC MANAGEMENT COMPANIES'!$B$6)+1 ),  ROWS('FOOD SVC MANAGEMENT COMPANIES'!$B$6:$B20)) ),""), "")</f>
        <v/>
      </c>
      <c r="Q18" s="56" t="str">
        <f>IFERROR(VLOOKUP(P18,'FOOD SVC MANAGEMENT COMPANIES'!$B:$H,9,0),"")</f>
        <v/>
      </c>
      <c r="R18" s="63"/>
      <c r="S18" s="63"/>
      <c r="T18" s="64"/>
      <c r="U18" s="56" t="str">
        <f t="array" ref="U18">IFERROR(IF($U$2 &lt;&gt; "", INDEX('FOOD SVC MANAGEMENT COMPANIES'!$B$6:$B$33,  SMALL( IF( 'FOOD SVC MANAGEMENT COMPANIES'!$D$6:$H$33 = $U$2, ROW('FOOD SVC MANAGEMENT COMPANIES'!$B$6:$B$33)-ROW('FOOD SVC MANAGEMENT COMPANIES'!$B$6)+1 ),  ROWS('FOOD SVC MANAGEMENT COMPANIES'!$B$6:$B20)) ),""), "")</f>
        <v/>
      </c>
      <c r="V18" s="56" t="str">
        <f>IFERROR(VLOOKUP(U18,'FOOD SVC MANAGEMENT COMPANIES'!$B:$H,9,0),"")</f>
        <v/>
      </c>
      <c r="W18" s="63"/>
      <c r="X18" s="63"/>
      <c r="Y18" s="64"/>
      <c r="Z18" s="56" t="str">
        <f t="array" ref="Z18">IFERROR(IF($Z$2 &lt;&gt; "", INDEX('FOOD SVC MANAGEMENT COMPANIES'!$B$6:$B$33,  SMALL( IF( 'FOOD SVC MANAGEMENT COMPANIES'!$D$6:$H$33 = $Z$2, ROW('FOOD SVC MANAGEMENT COMPANIES'!$B$6:$B$33)-ROW('FOOD SVC MANAGEMENT COMPANIES'!$B$6)+1 ),  ROWS('FOOD SVC MANAGEMENT COMPANIES'!$B$6:$B20)) ),""), "")</f>
        <v/>
      </c>
      <c r="AA18" s="56" t="str">
        <f>IFERROR(VLOOKUP(Z18,'FOOD SVC MANAGEMENT COMPANIES'!$B:$H,9,0),"")</f>
        <v/>
      </c>
      <c r="AB18" s="63"/>
      <c r="AC18" s="63"/>
      <c r="AD18" s="64"/>
      <c r="AE18" s="65"/>
      <c r="AF18" s="65"/>
      <c r="AG18" s="65"/>
      <c r="AH18" s="65"/>
      <c r="AI18" s="65"/>
      <c r="AJ18" s="65"/>
      <c r="AK18" s="65"/>
      <c r="AL18" s="65"/>
    </row>
    <row r="19" spans="1:38" s="66" customFormat="1" ht="15.75" x14ac:dyDescent="0.25">
      <c r="A19" s="56">
        <f t="array" ref="A19">IFERROR(IF($A$2 &lt;&gt; "", INDEX('FOOD SVC MANAGEMENT COMPANIES'!$B$6:$B$33,  SMALL( IF( 'FOOD SVC MANAGEMENT COMPANIES'!$D$6:$H$33 = $A$2, ROW('FOOD SVC MANAGEMENT COMPANIES'!$B$6:$B$33)-ROW('FOOD SVC MANAGEMENT COMPANIES'!$B$6)+1 ),  ROWS('FOOD SVC MANAGEMENT COMPANIES'!$B$6:$B21)) ),""), "")</f>
        <v>0</v>
      </c>
      <c r="B19" s="56" t="str">
        <f>IFERROR(VLOOKUP(A19,'FOOD SVC MANAGEMENT COMPANIES'!$B:$H,9,0),"")</f>
        <v/>
      </c>
      <c r="C19" s="63"/>
      <c r="D19" s="63"/>
      <c r="E19" s="64"/>
      <c r="F19" s="56" t="str">
        <f t="array" ref="F19">IFERROR(IF($F$2 &lt;&gt; "", INDEX('FOOD SVC MANAGEMENT COMPANIES'!$B$6:$B$33,  SMALL( IF( 'FOOD SVC MANAGEMENT COMPANIES'!$D$6:$H$33 = $F$2, ROW('FOOD SVC MANAGEMENT COMPANIES'!$B$6:$B$33)-ROW('FOOD SVC MANAGEMENT COMPANIES'!$B$6)+1 ),  ROWS('FOOD SVC MANAGEMENT COMPANIES'!$B$6:$B21)) ),""), "")</f>
        <v/>
      </c>
      <c r="G19" s="56" t="str">
        <f>IFERROR(VLOOKUP(F19,'FOOD SVC MANAGEMENT COMPANIES'!$B:$H,9,0),"")</f>
        <v/>
      </c>
      <c r="H19" s="63"/>
      <c r="I19" s="63"/>
      <c r="J19" s="64"/>
      <c r="K19" s="56" t="str">
        <f t="array" ref="K19">IFERROR(IF($K$2 &lt;&gt; "", INDEX('FOOD SVC MANAGEMENT COMPANIES'!$B$6:$B$33,  SMALL( IF( 'FOOD SVC MANAGEMENT COMPANIES'!$D$6:$H$33 = $K$2, ROW('FOOD SVC MANAGEMENT COMPANIES'!$B$6:$B$33)-ROW('FOOD SVC MANAGEMENT COMPANIES'!$B$6)+1 ),  ROWS('FOOD SVC MANAGEMENT COMPANIES'!$B$6:$B21)) ),""), "")</f>
        <v/>
      </c>
      <c r="L19" s="56" t="str">
        <f>IFERROR(VLOOKUP(K19,'FOOD SVC MANAGEMENT COMPANIES'!$B:$H,9,0),"")</f>
        <v/>
      </c>
      <c r="M19" s="63"/>
      <c r="N19" s="63"/>
      <c r="O19" s="64"/>
      <c r="P19" s="56" t="str">
        <f t="array" ref="P19">IFERROR(IF($P$2 &lt;&gt; "", INDEX('FOOD SVC MANAGEMENT COMPANIES'!$B$6:$B$33,  SMALL( IF( 'FOOD SVC MANAGEMENT COMPANIES'!$D$6:$H$33 = $P$2, ROW('FOOD SVC MANAGEMENT COMPANIES'!$B$6:$B$33)-ROW('FOOD SVC MANAGEMENT COMPANIES'!$B$6)+1 ),  ROWS('FOOD SVC MANAGEMENT COMPANIES'!$B$6:$B21)) ),""), "")</f>
        <v/>
      </c>
      <c r="Q19" s="56" t="str">
        <f>IFERROR(VLOOKUP(P19,'FOOD SVC MANAGEMENT COMPANIES'!$B:$H,9,0),"")</f>
        <v/>
      </c>
      <c r="R19" s="63"/>
      <c r="S19" s="63"/>
      <c r="T19" s="64"/>
      <c r="U19" s="56" t="str">
        <f t="array" ref="U19">IFERROR(IF($U$2 &lt;&gt; "", INDEX('FOOD SVC MANAGEMENT COMPANIES'!$B$6:$B$33,  SMALL( IF( 'FOOD SVC MANAGEMENT COMPANIES'!$D$6:$H$33 = $U$2, ROW('FOOD SVC MANAGEMENT COMPANIES'!$B$6:$B$33)-ROW('FOOD SVC MANAGEMENT COMPANIES'!$B$6)+1 ),  ROWS('FOOD SVC MANAGEMENT COMPANIES'!$B$6:$B21)) ),""), "")</f>
        <v/>
      </c>
      <c r="V19" s="56" t="str">
        <f>IFERROR(VLOOKUP(U19,'FOOD SVC MANAGEMENT COMPANIES'!$B:$H,9,0),"")</f>
        <v/>
      </c>
      <c r="W19" s="63"/>
      <c r="X19" s="63"/>
      <c r="Y19" s="64"/>
      <c r="Z19" s="56" t="str">
        <f t="array" ref="Z19">IFERROR(IF($Z$2 &lt;&gt; "", INDEX('FOOD SVC MANAGEMENT COMPANIES'!$B$6:$B$33,  SMALL( IF( 'FOOD SVC MANAGEMENT COMPANIES'!$D$6:$H$33 = $Z$2, ROW('FOOD SVC MANAGEMENT COMPANIES'!$B$6:$B$33)-ROW('FOOD SVC MANAGEMENT COMPANIES'!$B$6)+1 ),  ROWS('FOOD SVC MANAGEMENT COMPANIES'!$B$6:$B21)) ),""), "")</f>
        <v/>
      </c>
      <c r="AA19" s="56" t="str">
        <f>IFERROR(VLOOKUP(Z19,'FOOD SVC MANAGEMENT COMPANIES'!$B:$H,9,0),"")</f>
        <v/>
      </c>
      <c r="AB19" s="63"/>
      <c r="AC19" s="63"/>
      <c r="AD19" s="64"/>
      <c r="AE19" s="65"/>
      <c r="AF19" s="65"/>
      <c r="AG19" s="65"/>
      <c r="AH19" s="65"/>
      <c r="AI19" s="65"/>
      <c r="AJ19" s="65"/>
      <c r="AK19" s="65"/>
      <c r="AL19" s="65"/>
    </row>
    <row r="20" spans="1:38" s="66" customFormat="1" ht="15.75" x14ac:dyDescent="0.25">
      <c r="A20" s="56">
        <f t="array" ref="A20">IFERROR(IF($A$2 &lt;&gt; "", INDEX('FOOD SVC MANAGEMENT COMPANIES'!$B$6:$B$33,  SMALL( IF( 'FOOD SVC MANAGEMENT COMPANIES'!$D$6:$H$33 = $A$2, ROW('FOOD SVC MANAGEMENT COMPANIES'!$B$6:$B$33)-ROW('FOOD SVC MANAGEMENT COMPANIES'!$B$6)+1 ),  ROWS('FOOD SVC MANAGEMENT COMPANIES'!$B$6:$B22)) ),""), "")</f>
        <v>0</v>
      </c>
      <c r="B20" s="56" t="str">
        <f>IFERROR(VLOOKUP(A20,'FOOD SVC MANAGEMENT COMPANIES'!$B:$H,9,0),"")</f>
        <v/>
      </c>
      <c r="C20" s="63"/>
      <c r="D20" s="63"/>
      <c r="E20" s="64"/>
      <c r="F20" s="56" t="str">
        <f t="array" ref="F20">IFERROR(IF($F$2 &lt;&gt; "", INDEX('FOOD SVC MANAGEMENT COMPANIES'!$B$6:$B$33,  SMALL( IF( 'FOOD SVC MANAGEMENT COMPANIES'!$D$6:$H$33 = $F$2, ROW('FOOD SVC MANAGEMENT COMPANIES'!$B$6:$B$33)-ROW('FOOD SVC MANAGEMENT COMPANIES'!$B$6)+1 ),  ROWS('FOOD SVC MANAGEMENT COMPANIES'!$B$6:$B22)) ),""), "")</f>
        <v/>
      </c>
      <c r="G20" s="56" t="str">
        <f>IFERROR(VLOOKUP(F20,'FOOD SVC MANAGEMENT COMPANIES'!$B:$H,9,0),"")</f>
        <v/>
      </c>
      <c r="H20" s="63"/>
      <c r="I20" s="63"/>
      <c r="J20" s="64"/>
      <c r="K20" s="56" t="str">
        <f t="array" ref="K20">IFERROR(IF($K$2 &lt;&gt; "", INDEX('FOOD SVC MANAGEMENT COMPANIES'!$B$6:$B$33,  SMALL( IF( 'FOOD SVC MANAGEMENT COMPANIES'!$D$6:$H$33 = $K$2, ROW('FOOD SVC MANAGEMENT COMPANIES'!$B$6:$B$33)-ROW('FOOD SVC MANAGEMENT COMPANIES'!$B$6)+1 ),  ROWS('FOOD SVC MANAGEMENT COMPANIES'!$B$6:$B22)) ),""), "")</f>
        <v/>
      </c>
      <c r="L20" s="56" t="str">
        <f>IFERROR(VLOOKUP(K20,'FOOD SVC MANAGEMENT COMPANIES'!$B:$H,9,0),"")</f>
        <v/>
      </c>
      <c r="M20" s="63"/>
      <c r="N20" s="63"/>
      <c r="O20" s="64"/>
      <c r="P20" s="56" t="str">
        <f t="array" ref="P20">IFERROR(IF($P$2 &lt;&gt; "", INDEX('FOOD SVC MANAGEMENT COMPANIES'!$B$6:$B$33,  SMALL( IF( 'FOOD SVC MANAGEMENT COMPANIES'!$D$6:$H$33 = $P$2, ROW('FOOD SVC MANAGEMENT COMPANIES'!$B$6:$B$33)-ROW('FOOD SVC MANAGEMENT COMPANIES'!$B$6)+1 ),  ROWS('FOOD SVC MANAGEMENT COMPANIES'!$B$6:$B22)) ),""), "")</f>
        <v/>
      </c>
      <c r="Q20" s="56" t="str">
        <f>IFERROR(VLOOKUP(P20,'FOOD SVC MANAGEMENT COMPANIES'!$B:$H,9,0),"")</f>
        <v/>
      </c>
      <c r="R20" s="63"/>
      <c r="S20" s="63"/>
      <c r="T20" s="64"/>
      <c r="U20" s="56" t="str">
        <f t="array" ref="U20">IFERROR(IF($U$2 &lt;&gt; "", INDEX('FOOD SVC MANAGEMENT COMPANIES'!$B$6:$B$33,  SMALL( IF( 'FOOD SVC MANAGEMENT COMPANIES'!$D$6:$H$33 = $U$2, ROW('FOOD SVC MANAGEMENT COMPANIES'!$B$6:$B$33)-ROW('FOOD SVC MANAGEMENT COMPANIES'!$B$6)+1 ),  ROWS('FOOD SVC MANAGEMENT COMPANIES'!$B$6:$B22)) ),""), "")</f>
        <v/>
      </c>
      <c r="V20" s="56" t="str">
        <f>IFERROR(VLOOKUP(U20,'FOOD SVC MANAGEMENT COMPANIES'!$B:$H,9,0),"")</f>
        <v/>
      </c>
      <c r="W20" s="63"/>
      <c r="X20" s="63"/>
      <c r="Y20" s="64"/>
      <c r="Z20" s="56" t="str">
        <f t="array" ref="Z20">IFERROR(IF($Z$2 &lt;&gt; "", INDEX('FOOD SVC MANAGEMENT COMPANIES'!$B$6:$B$33,  SMALL( IF( 'FOOD SVC MANAGEMENT COMPANIES'!$D$6:$H$33 = $Z$2, ROW('FOOD SVC MANAGEMENT COMPANIES'!$B$6:$B$33)-ROW('FOOD SVC MANAGEMENT COMPANIES'!$B$6)+1 ),  ROWS('FOOD SVC MANAGEMENT COMPANIES'!$B$6:$B22)) ),""), "")</f>
        <v/>
      </c>
      <c r="AA20" s="56" t="str">
        <f>IFERROR(VLOOKUP(Z20,'FOOD SVC MANAGEMENT COMPANIES'!$B:$H,9,0),"")</f>
        <v/>
      </c>
      <c r="AB20" s="63"/>
      <c r="AC20" s="63"/>
      <c r="AD20" s="64"/>
      <c r="AE20" s="65"/>
      <c r="AF20" s="65"/>
      <c r="AG20" s="65"/>
      <c r="AH20" s="65"/>
      <c r="AI20" s="65"/>
      <c r="AJ20" s="65"/>
      <c r="AK20" s="65"/>
      <c r="AL20" s="65"/>
    </row>
    <row r="21" spans="1:38" ht="15.75" x14ac:dyDescent="0.25">
      <c r="A21" s="56">
        <f t="array" ref="A21">IFERROR(IF($A$2 &lt;&gt; "", INDEX('FOOD SVC MANAGEMENT COMPANIES'!$B$6:$B$33,  SMALL( IF( 'FOOD SVC MANAGEMENT COMPANIES'!$D$6:$H$33 = $A$2, ROW('FOOD SVC MANAGEMENT COMPANIES'!$B$6:$B$33)-ROW('FOOD SVC MANAGEMENT COMPANIES'!$B$6)+1 ),  ROWS('FOOD SVC MANAGEMENT COMPANIES'!$B$6:$B23)) ),""), "")</f>
        <v>0</v>
      </c>
      <c r="B21" s="56" t="str">
        <f>IFERROR(VLOOKUP(A21,'FOOD SVC MANAGEMENT COMPANIES'!$B:$H,9,0),"")</f>
        <v/>
      </c>
      <c r="C21" s="63"/>
      <c r="D21" s="63"/>
      <c r="E21" s="64"/>
      <c r="F21" s="56" t="str">
        <f t="array" ref="F21">IFERROR(IF($F$2 &lt;&gt; "", INDEX('FOOD SVC MANAGEMENT COMPANIES'!$B$6:$B$33,  SMALL( IF( 'FOOD SVC MANAGEMENT COMPANIES'!$D$6:$H$33 = $F$2, ROW('FOOD SVC MANAGEMENT COMPANIES'!$B$6:$B$33)-ROW('FOOD SVC MANAGEMENT COMPANIES'!$B$6)+1 ),  ROWS('FOOD SVC MANAGEMENT COMPANIES'!$B$6:$B23)) ),""), "")</f>
        <v/>
      </c>
      <c r="G21" s="56" t="str">
        <f>IFERROR(VLOOKUP(F21,'FOOD SVC MANAGEMENT COMPANIES'!$B:$H,9,0),"")</f>
        <v/>
      </c>
      <c r="H21" s="63"/>
      <c r="I21" s="63"/>
      <c r="J21" s="64"/>
      <c r="K21" s="56" t="str">
        <f t="array" ref="K21">IFERROR(IF($K$2 &lt;&gt; "", INDEX('FOOD SVC MANAGEMENT COMPANIES'!$B$6:$B$33,  SMALL( IF( 'FOOD SVC MANAGEMENT COMPANIES'!$D$6:$H$33 = $K$2, ROW('FOOD SVC MANAGEMENT COMPANIES'!$B$6:$B$33)-ROW('FOOD SVC MANAGEMENT COMPANIES'!$B$6)+1 ),  ROWS('FOOD SVC MANAGEMENT COMPANIES'!$B$6:$B23)) ),""), "")</f>
        <v/>
      </c>
      <c r="L21" s="56" t="str">
        <f>IFERROR(VLOOKUP(K21,'FOOD SVC MANAGEMENT COMPANIES'!$B:$H,9,0),"")</f>
        <v/>
      </c>
      <c r="M21" s="63"/>
      <c r="N21" s="63"/>
      <c r="O21" s="64"/>
      <c r="P21" s="56" t="str">
        <f t="array" ref="P21">IFERROR(IF($P$2 &lt;&gt; "", INDEX('FOOD SVC MANAGEMENT COMPANIES'!$B$6:$B$33,  SMALL( IF( 'FOOD SVC MANAGEMENT COMPANIES'!$D$6:$H$33 = $P$2, ROW('FOOD SVC MANAGEMENT COMPANIES'!$B$6:$B$33)-ROW('FOOD SVC MANAGEMENT COMPANIES'!$B$6)+1 ),  ROWS('FOOD SVC MANAGEMENT COMPANIES'!$B$6:$B23)) ),""), "")</f>
        <v/>
      </c>
      <c r="Q21" s="56" t="str">
        <f>IFERROR(VLOOKUP(P21,'FOOD SVC MANAGEMENT COMPANIES'!$B:$H,9,0),"")</f>
        <v/>
      </c>
      <c r="R21" s="63"/>
      <c r="S21" s="63"/>
      <c r="T21" s="64"/>
      <c r="U21" s="56" t="str">
        <f t="array" ref="U21">IFERROR(IF($U$2 &lt;&gt; "", INDEX('FOOD SVC MANAGEMENT COMPANIES'!$B$6:$B$33,  SMALL( IF( 'FOOD SVC MANAGEMENT COMPANIES'!$D$6:$H$33 = $U$2, ROW('FOOD SVC MANAGEMENT COMPANIES'!$B$6:$B$33)-ROW('FOOD SVC MANAGEMENT COMPANIES'!$B$6)+1 ),  ROWS('FOOD SVC MANAGEMENT COMPANIES'!$B$6:$B23)) ),""), "")</f>
        <v/>
      </c>
      <c r="V21" s="56" t="str">
        <f>IFERROR(VLOOKUP(U21,'FOOD SVC MANAGEMENT COMPANIES'!$B:$H,9,0),"")</f>
        <v/>
      </c>
      <c r="W21" s="63"/>
      <c r="X21" s="63"/>
      <c r="Y21" s="58"/>
      <c r="Z21" s="56" t="str">
        <f t="array" ref="Z21">IFERROR(IF($Z$2 &lt;&gt; "", INDEX('FOOD SVC MANAGEMENT COMPANIES'!$B$6:$B$33,  SMALL( IF( 'FOOD SVC MANAGEMENT COMPANIES'!$D$6:$H$33 = $Z$2, ROW('FOOD SVC MANAGEMENT COMPANIES'!$B$6:$B$33)-ROW('FOOD SVC MANAGEMENT COMPANIES'!$B$6)+1 ),  ROWS('FOOD SVC MANAGEMENT COMPANIES'!$B$6:$B23)) ),""), "")</f>
        <v/>
      </c>
      <c r="AA21" s="56" t="str">
        <f>IFERROR(VLOOKUP(Z21,'FOOD SVC MANAGEMENT COMPANIES'!$B:$H,9,0),"")</f>
        <v/>
      </c>
      <c r="AB21" s="63"/>
      <c r="AC21" s="63"/>
      <c r="AD21" s="58"/>
    </row>
    <row r="22" spans="1:38" x14ac:dyDescent="0.2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row>
    <row r="23" spans="1:38" x14ac:dyDescent="0.2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38" x14ac:dyDescent="0.25">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row>
    <row r="25" spans="1:38" x14ac:dyDescent="0.2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row>
    <row r="26" spans="1:38" x14ac:dyDescent="0.2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row>
    <row r="27" spans="1:38"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38"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38"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38"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38"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38"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x14ac:dyDescent="0.2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x14ac:dyDescent="0.2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row>
    <row r="37" spans="1:26"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row>
    <row r="38" spans="1:26"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row>
    <row r="39" spans="1:26" x14ac:dyDescent="0.25">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row>
    <row r="40" spans="1:26" x14ac:dyDescent="0.2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row>
    <row r="41" spans="1:26" x14ac:dyDescent="0.25">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spans="1:26" x14ac:dyDescent="0.2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row>
    <row r="43" spans="1:26"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row>
    <row r="44" spans="1:26" x14ac:dyDescent="0.2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row>
    <row r="45" spans="1:26" x14ac:dyDescent="0.2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1:26"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row>
    <row r="47" spans="1:26"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row>
    <row r="48" spans="1:26"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row>
    <row r="49" spans="1:26"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row>
    <row r="50" spans="1:26"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row>
    <row r="51" spans="1:26"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row>
    <row r="52" spans="1:26"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row>
    <row r="53" spans="1:26"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spans="1:26"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26"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26"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26"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26"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26"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spans="1:26"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sheetData>
  <mergeCells count="7">
    <mergeCell ref="A1:AD1"/>
    <mergeCell ref="A2:D2"/>
    <mergeCell ref="U2:X2"/>
    <mergeCell ref="P2:S2"/>
    <mergeCell ref="K2:N2"/>
    <mergeCell ref="F2:I2"/>
    <mergeCell ref="Z2:AC2"/>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AL82"/>
  <sheetViews>
    <sheetView topLeftCell="J1" zoomScale="70" zoomScaleNormal="70" workbookViewId="0">
      <selection activeCell="U4" sqref="U4"/>
    </sheetView>
  </sheetViews>
  <sheetFormatPr defaultColWidth="25.5703125" defaultRowHeight="15" x14ac:dyDescent="0.25"/>
  <cols>
    <col min="1" max="1" width="42" style="60" customWidth="1"/>
    <col min="2" max="2" width="35.5703125" style="60" bestFit="1" customWidth="1"/>
    <col min="3" max="4" width="35.5703125" style="60" customWidth="1"/>
    <col min="5" max="5" width="5.5703125" style="60" customWidth="1"/>
    <col min="6" max="6" width="42" style="60" customWidth="1"/>
    <col min="7" max="7" width="35.5703125" style="60" bestFit="1" customWidth="1"/>
    <col min="8" max="9" width="35.5703125" style="60" customWidth="1"/>
    <col min="10" max="10" width="5.5703125" style="60" customWidth="1"/>
    <col min="11" max="11" width="42" style="60" customWidth="1"/>
    <col min="12" max="12" width="35.5703125" style="60" bestFit="1" customWidth="1"/>
    <col min="13" max="14" width="35.5703125" style="60" customWidth="1"/>
    <col min="15" max="15" width="5.5703125" style="60" customWidth="1"/>
    <col min="16" max="16" width="42" style="60" customWidth="1"/>
    <col min="17" max="17" width="35.5703125" style="60" bestFit="1" customWidth="1"/>
    <col min="18" max="19" width="35.5703125" style="60" customWidth="1"/>
    <col min="20" max="20" width="5.5703125" style="60" customWidth="1"/>
    <col min="21" max="24" width="36.7109375" style="60" customWidth="1"/>
    <col min="25" max="25" width="12.7109375" style="60" customWidth="1"/>
    <col min="26" max="26" width="36.7109375" style="60" customWidth="1"/>
    <col min="27" max="29" width="36.7109375" style="59" customWidth="1"/>
    <col min="30" max="38" width="25.5703125" style="59"/>
    <col min="39" max="16384" width="25.5703125" style="60"/>
  </cols>
  <sheetData>
    <row r="1" spans="1:38" ht="46.5" x14ac:dyDescent="0.25">
      <c r="A1" s="766" t="str">
        <f>'SFA PROCUREMENT TABLE'!$A$1:$D$1&amp;" - "&amp;"FSMC Renewal Findings"</f>
        <v xml:space="preserve"> - FSMC Renewal Findings</v>
      </c>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row>
    <row r="2" spans="1:38" ht="26.25" x14ac:dyDescent="0.25">
      <c r="A2" s="776">
        <f t="array" ref="A2">IFERROR( INDEX('SFA PROCUREMENT TABLE'!$A$95:$A$101,  SMALL( IF('SFA PROCUREMENT TABLE'!$K$95:$K$101 = "Select for Review", ROW('SFA PROCUREMENT TABLE'!$A$95:$A$101)-ROW('SFA PROCUREMENT TABLE'!$A$95)+1 ),  ROWS('SFA PROCUREMENT TABLE'!$A$95:'SFA PROCUREMENT TABLE'!$E95)) ),"")</f>
        <v>0</v>
      </c>
      <c r="B2" s="777"/>
      <c r="C2" s="777"/>
      <c r="D2" s="778"/>
      <c r="E2" s="58"/>
      <c r="F2" s="776" t="str">
        <f t="array" ref="F2">IFERROR( INDEX('SFA PROCUREMENT TABLE'!$A$95:$A$101,  SMALL( IF('SFA PROCUREMENT TABLE'!$K$95:$K$101 = "Select for Review", ROW('SFA PROCUREMENT TABLE'!$A$95:$A$101)-ROW('SFA PROCUREMENT TABLE'!$A$95)+1 ),  ROWS('SFA PROCUREMENT TABLE'!$A$95:'SFA PROCUREMENT TABLE'!$E96)) ),"")</f>
        <v/>
      </c>
      <c r="G2" s="777"/>
      <c r="H2" s="777"/>
      <c r="I2" s="778"/>
      <c r="J2" s="58"/>
      <c r="K2" s="776" t="str">
        <f t="array" ref="K2">IFERROR( INDEX('SFA PROCUREMENT TABLE'!$A$95:$A$101,  SMALL( IF('SFA PROCUREMENT TABLE'!$K$95:$K$101 = "Select for Review", ROW('SFA PROCUREMENT TABLE'!$A$95:$A$101)-ROW('SFA PROCUREMENT TABLE'!$A$95)+1 ),  ROWS('SFA PROCUREMENT TABLE'!$A$95:'SFA PROCUREMENT TABLE'!$E97)) ),"")</f>
        <v/>
      </c>
      <c r="L2" s="777"/>
      <c r="M2" s="777"/>
      <c r="N2" s="778"/>
      <c r="O2" s="58"/>
      <c r="P2" s="776" t="str">
        <f t="array" ref="P2">IFERROR( INDEX('SFA PROCUREMENT TABLE'!$A$95:$A$101,  SMALL( IF('SFA PROCUREMENT TABLE'!$K$95:$K$101 = "Select for Review", ROW('SFA PROCUREMENT TABLE'!$A$95:$A$101)-ROW('SFA PROCUREMENT TABLE'!$A$95)+1 ),  ROWS('SFA PROCUREMENT TABLE'!$A$95:'SFA PROCUREMENT TABLE'!$E98)) ),"")</f>
        <v/>
      </c>
      <c r="Q2" s="777"/>
      <c r="R2" s="777"/>
      <c r="S2" s="778"/>
      <c r="T2" s="58"/>
      <c r="U2" s="776" t="str">
        <f t="array" ref="U2">IFERROR( INDEX('SFA PROCUREMENT TABLE'!$A$95:$A$101,  SMALL( IF('SFA PROCUREMENT TABLE'!$K$95:$K$101 = "Select for Review", ROW('SFA PROCUREMENT TABLE'!$A$95:$A$101)-ROW('SFA PROCUREMENT TABLE'!$A$95)+1 ),  ROWS('SFA PROCUREMENT TABLE'!$A$95:'SFA PROCUREMENT TABLE'!$E99)) ),"")</f>
        <v/>
      </c>
      <c r="V2" s="777"/>
      <c r="W2" s="777"/>
      <c r="X2" s="778"/>
      <c r="Y2" s="58"/>
      <c r="Z2" s="776" t="str">
        <f t="array" ref="Z2">IFERROR( INDEX('SFA PROCUREMENT TABLE'!$A$95:$A$101,  SMALL( IF('SFA PROCUREMENT TABLE'!$K$95:$K$101 = "Select for Review", ROW('SFA PROCUREMENT TABLE'!$A$95:$A$101)-ROW('SFA PROCUREMENT TABLE'!$A$95)+1 ),  ROWS('SFA PROCUREMENT TABLE'!$A$95:'SFA PROCUREMENT TABLE'!$E100)) ),"")</f>
        <v/>
      </c>
      <c r="AA2" s="777"/>
      <c r="AB2" s="777"/>
      <c r="AC2" s="778"/>
      <c r="AD2" s="58"/>
    </row>
    <row r="3" spans="1:38" s="74" customFormat="1" ht="18.75" x14ac:dyDescent="0.25">
      <c r="A3" s="87" t="s">
        <v>39</v>
      </c>
      <c r="B3" s="87" t="s">
        <v>38</v>
      </c>
      <c r="C3" s="61" t="s">
        <v>231</v>
      </c>
      <c r="D3" s="61" t="s">
        <v>232</v>
      </c>
      <c r="E3" s="72"/>
      <c r="F3" s="87" t="s">
        <v>39</v>
      </c>
      <c r="G3" s="87" t="s">
        <v>38</v>
      </c>
      <c r="H3" s="61" t="s">
        <v>231</v>
      </c>
      <c r="I3" s="61" t="s">
        <v>232</v>
      </c>
      <c r="J3" s="72"/>
      <c r="K3" s="87" t="s">
        <v>39</v>
      </c>
      <c r="L3" s="87" t="s">
        <v>38</v>
      </c>
      <c r="M3" s="61" t="s">
        <v>231</v>
      </c>
      <c r="N3" s="61" t="s">
        <v>232</v>
      </c>
      <c r="O3" s="72"/>
      <c r="P3" s="87" t="s">
        <v>39</v>
      </c>
      <c r="Q3" s="87" t="s">
        <v>38</v>
      </c>
      <c r="R3" s="61" t="s">
        <v>231</v>
      </c>
      <c r="S3" s="61" t="s">
        <v>232</v>
      </c>
      <c r="T3" s="72"/>
      <c r="U3" s="87" t="s">
        <v>39</v>
      </c>
      <c r="V3" s="87" t="s">
        <v>38</v>
      </c>
      <c r="W3" s="61" t="s">
        <v>231</v>
      </c>
      <c r="X3" s="61" t="s">
        <v>232</v>
      </c>
      <c r="Y3" s="72"/>
      <c r="Z3" s="87" t="s">
        <v>39</v>
      </c>
      <c r="AA3" s="87" t="s">
        <v>38</v>
      </c>
      <c r="AB3" s="61" t="s">
        <v>231</v>
      </c>
      <c r="AC3" s="61" t="s">
        <v>232</v>
      </c>
      <c r="AD3" s="72"/>
      <c r="AE3" s="73"/>
      <c r="AF3" s="73"/>
      <c r="AG3" s="73"/>
      <c r="AH3" s="73"/>
      <c r="AI3" s="73"/>
      <c r="AJ3" s="73"/>
      <c r="AK3" s="73"/>
      <c r="AL3" s="73"/>
    </row>
    <row r="4" spans="1:38" s="66" customFormat="1" ht="31.5" x14ac:dyDescent="0.25">
      <c r="A4" s="56" t="str">
        <f t="array" ref="A4">IFERROR(IF($A$2 &lt;&gt; "", INDEX('SA PRE-APPROVAL FSMC CHECKLIST'!$B$6:$B$45,  SMALL( IF( 'SA PRE-APPROVAL FSMC CHECKLIST'!$D$6:$H$45 = $A$2, ROW('SA PRE-APPROVAL FSMC CHECKLIST'!$B$6:$B$45)-ROW('SA PRE-APPROVAL FSMC CHECKLIST'!$B$6)+1 ),  ROWS('SA PRE-APPROVAL FSMC CHECKLIST'!$B$6:$B6)) ),""), "")</f>
        <v xml:space="preserve">  a)  Initial contract duration limited to 1 year?  [7 CFR 210.16(d)]</v>
      </c>
      <c r="B4" s="56" t="str">
        <f>IFERROR(VLOOKUP(A4,'SA PRE-APPROVAL FSMC CHECKLIST'!$B:$H,9,0),"")</f>
        <v/>
      </c>
      <c r="C4" s="63"/>
      <c r="D4" s="63"/>
      <c r="E4" s="64"/>
      <c r="F4" s="56" t="str">
        <f t="array" ref="F4">IFERROR(IF($F$2 &lt;&gt; "", INDEX('SA PRE-APPROVAL FSMC CHECKLIST'!$B$6:$B$45,  SMALL( IF( 'SA PRE-APPROVAL FSMC CHECKLIST'!$D$6:$H$45 = $F$2, ROW('SA PRE-APPROVAL FSMC CHECKLIST'!$B$6:$B$45)-ROW('SA PRE-APPROVAL FSMC CHECKLIST'!$B$6)+1 ),  ROWS('SA PRE-APPROVAL FSMC CHECKLIST'!$B$6:$B6)) ),""), "")</f>
        <v/>
      </c>
      <c r="G4" s="56" t="str">
        <f>IFERROR(VLOOKUP(F4,'SA PRE-APPROVAL FSMC CHECKLIST'!$B:$H,9,0),"")</f>
        <v/>
      </c>
      <c r="H4" s="63"/>
      <c r="I4" s="63"/>
      <c r="J4" s="64"/>
      <c r="K4" s="56" t="str">
        <f t="array" ref="K4">IFERROR(IF($K$2 &lt;&gt; "", INDEX('SA PRE-APPROVAL FSMC CHECKLIST'!$B$6:$B$45,  SMALL( IF( 'SA PRE-APPROVAL FSMC CHECKLIST'!$D$6:$H$45 = $K$2, ROW('SA PRE-APPROVAL FSMC CHECKLIST'!$B$6:$B$45)-ROW('SA PRE-APPROVAL FSMC CHECKLIST'!$B$6)+1 ),  ROWS('SA PRE-APPROVAL FSMC CHECKLIST'!$B$6:$B6)) ),""), "")</f>
        <v/>
      </c>
      <c r="L4" s="56" t="str">
        <f>IFERROR(VLOOKUP(K4,'SA PRE-APPROVAL FSMC CHECKLIST'!$B:$H,9,0),"")</f>
        <v/>
      </c>
      <c r="M4" s="63"/>
      <c r="N4" s="63"/>
      <c r="O4" s="64"/>
      <c r="P4" s="56" t="str">
        <f t="array" ref="P4">IFERROR(IF($P$2 &lt;&gt; "", INDEX('SA PRE-APPROVAL FSMC CHECKLIST'!$B$6:$B$45,  SMALL( IF( 'SA PRE-APPROVAL FSMC CHECKLIST'!$D$6:$H$45 = $P$2, ROW('SA PRE-APPROVAL FSMC CHECKLIST'!$B$6:$B$45)-ROW('SA PRE-APPROVAL FSMC CHECKLIST'!$B$6)+1 ),  ROWS('SA PRE-APPROVAL FSMC CHECKLIST'!$B$6:$B6)) ),""), "")</f>
        <v/>
      </c>
      <c r="Q4" s="56" t="str">
        <f>IFERROR(VLOOKUP(P4,'SA PRE-APPROVAL FSMC CHECKLIST'!$B:$H,9,0),"")</f>
        <v/>
      </c>
      <c r="R4" s="63"/>
      <c r="S4" s="63"/>
      <c r="T4" s="64"/>
      <c r="U4" s="56" t="str">
        <f t="array" ref="U4">IFERROR(IF($U$2 &lt;&gt; "", INDEX('SA PRE-APPROVAL FSMC CHECKLIST'!$B$6:$B$45,  SMALL( IF( 'SA PRE-APPROVAL FSMC CHECKLIST'!$D$6:$H$45 = $U$2, ROW('SA PRE-APPROVAL FSMC CHECKLIST'!$B$6:$B$45)-ROW('SA PRE-APPROVAL FSMC CHECKLIST'!$B$6)+1 ),  ROWS('SA PRE-APPROVAL FSMC CHECKLIST'!$B$6:$B6)) ),""), "")</f>
        <v/>
      </c>
      <c r="V4" s="56" t="str">
        <f>IFERROR(VLOOKUP(U4,'SA PRE-APPROVAL FSMC CHECKLIST'!$B:$H,9,0),"")</f>
        <v/>
      </c>
      <c r="W4" s="63"/>
      <c r="X4" s="63"/>
      <c r="Y4" s="64"/>
      <c r="Z4" s="56" t="str">
        <f t="array" ref="Z4">IFERROR(IF($Z$2 &lt;&gt; "", INDEX('SA PRE-APPROVAL FSMC CHECKLIST'!$B$6:$B$45,  SMALL( IF( 'SA PRE-APPROVAL FSMC CHECKLIST'!$D$6:$H$45 = $Z$2, ROW('SA PRE-APPROVAL FSMC CHECKLIST'!$B$6:$B$45)-ROW('SA PRE-APPROVAL FSMC CHECKLIST'!$B$6)+1 ),  ROWS('SA PRE-APPROVAL FSMC CHECKLIST'!$B$6:$B6)) ),""), "")</f>
        <v/>
      </c>
      <c r="AA4" s="56" t="str">
        <f>IFERROR(VLOOKUP(Z4,'SA PRE-APPROVAL FSMC CHECKLIST'!$B:$H,9,0),"")</f>
        <v/>
      </c>
      <c r="AB4" s="63"/>
      <c r="AC4" s="63"/>
      <c r="AD4" s="64"/>
      <c r="AE4" s="65"/>
      <c r="AF4" s="65"/>
      <c r="AG4" s="65"/>
      <c r="AH4" s="65"/>
      <c r="AI4" s="65"/>
      <c r="AJ4" s="65"/>
      <c r="AK4" s="65"/>
      <c r="AL4" s="65"/>
    </row>
    <row r="5" spans="1:38" s="66" customFormat="1" ht="31.5" x14ac:dyDescent="0.25">
      <c r="A5" s="56" t="str">
        <f t="array" ref="A5">IFERROR(IF($A$2 &lt;&gt; "", INDEX('SA PRE-APPROVAL FSMC CHECKLIST'!$B$6:$B$45,  SMALL( IF( 'SA PRE-APPROVAL FSMC CHECKLIST'!$D$6:$H$45 = $A$2, ROW('SA PRE-APPROVAL FSMC CHECKLIST'!$B$6:$B$45)-ROW('SA PRE-APPROVAL FSMC CHECKLIST'!$B$6)+1 ),  ROWS('SA PRE-APPROVAL FSMC CHECKLIST'!$B$6:$B7)) ),""), "")</f>
        <v xml:space="preserve">  a)  Initial contract duration limited to 1 year?  [7 CFR 210.16(d)]</v>
      </c>
      <c r="B5" s="56" t="str">
        <f>IFERROR(VLOOKUP(A5,'SA PRE-APPROVAL FSMC CHECKLIST'!$B:$H,9,0),"")</f>
        <v/>
      </c>
      <c r="C5" s="63"/>
      <c r="D5" s="63"/>
      <c r="E5" s="64"/>
      <c r="F5" s="56" t="str">
        <f t="array" ref="F5">IFERROR(IF($F$2 &lt;&gt; "", INDEX('SA PRE-APPROVAL FSMC CHECKLIST'!$B$6:$B$45,  SMALL( IF( 'SA PRE-APPROVAL FSMC CHECKLIST'!$D$6:$H$45 = $F$2, ROW('SA PRE-APPROVAL FSMC CHECKLIST'!$B$6:$B$45)-ROW('SA PRE-APPROVAL FSMC CHECKLIST'!$B$6)+1 ),  ROWS('SA PRE-APPROVAL FSMC CHECKLIST'!$B$6:$B7)) ),""), "")</f>
        <v/>
      </c>
      <c r="G5" s="56" t="str">
        <f>IFERROR(VLOOKUP(F5,'SA PRE-APPROVAL FSMC CHECKLIST'!$B:$H,9,0),"")</f>
        <v/>
      </c>
      <c r="H5" s="63"/>
      <c r="I5" s="63"/>
      <c r="J5" s="64"/>
      <c r="K5" s="56" t="str">
        <f t="array" ref="K5">IFERROR(IF($K$2 &lt;&gt; "", INDEX('SA PRE-APPROVAL FSMC CHECKLIST'!$B$6:$B$45,  SMALL( IF( 'SA PRE-APPROVAL FSMC CHECKLIST'!$D$6:$H$45 = $K$2, ROW('SA PRE-APPROVAL FSMC CHECKLIST'!$B$6:$B$45)-ROW('SA PRE-APPROVAL FSMC CHECKLIST'!$B$6)+1 ),  ROWS('SA PRE-APPROVAL FSMC CHECKLIST'!$B$6:$B7)) ),""), "")</f>
        <v/>
      </c>
      <c r="L5" s="56" t="str">
        <f>IFERROR(VLOOKUP(K5,'SA PRE-APPROVAL FSMC CHECKLIST'!$B:$H,9,0),"")</f>
        <v/>
      </c>
      <c r="M5" s="63"/>
      <c r="N5" s="63"/>
      <c r="O5" s="64"/>
      <c r="P5" s="56" t="str">
        <f t="array" ref="P5">IFERROR(IF($P$2 &lt;&gt; "", INDEX('SA PRE-APPROVAL FSMC CHECKLIST'!$B$6:$B$45,  SMALL( IF( 'SA PRE-APPROVAL FSMC CHECKLIST'!$D$6:$H$45 = $P$2, ROW('SA PRE-APPROVAL FSMC CHECKLIST'!$B$6:$B$45)-ROW('SA PRE-APPROVAL FSMC CHECKLIST'!$B$6)+1 ),  ROWS('SA PRE-APPROVAL FSMC CHECKLIST'!$B$6:$B7)) ),""), "")</f>
        <v/>
      </c>
      <c r="Q5" s="56" t="str">
        <f>IFERROR(VLOOKUP(P5,'SA PRE-APPROVAL FSMC CHECKLIST'!$B:$H,9,0),"")</f>
        <v/>
      </c>
      <c r="R5" s="63"/>
      <c r="S5" s="63"/>
      <c r="T5" s="64"/>
      <c r="U5" s="56" t="str">
        <f t="array" ref="U5">IFERROR(IF($U$2 &lt;&gt; "", INDEX('SA PRE-APPROVAL FSMC CHECKLIST'!$B$6:$B$45,  SMALL( IF( 'SA PRE-APPROVAL FSMC CHECKLIST'!$D$6:$H$45 = $U$2, ROW('SA PRE-APPROVAL FSMC CHECKLIST'!$B$6:$B$45)-ROW('SA PRE-APPROVAL FSMC CHECKLIST'!$B$6)+1 ),  ROWS('SA PRE-APPROVAL FSMC CHECKLIST'!$B$6:$B7)) ),""), "")</f>
        <v/>
      </c>
      <c r="V5" s="56" t="str">
        <f>IFERROR(VLOOKUP(U5,'SA PRE-APPROVAL FSMC CHECKLIST'!$B:$H,9,0),"")</f>
        <v/>
      </c>
      <c r="W5" s="63"/>
      <c r="X5" s="63"/>
      <c r="Y5" s="64"/>
      <c r="Z5" s="56" t="str">
        <f t="array" ref="Z5">IFERROR(IF($Z$2 &lt;&gt; "", INDEX('SA PRE-APPROVAL FSMC CHECKLIST'!$B$6:$B$45,  SMALL( IF( 'SA PRE-APPROVAL FSMC CHECKLIST'!$D$6:$H$45 = $Z$2, ROW('SA PRE-APPROVAL FSMC CHECKLIST'!$B$6:$B$45)-ROW('SA PRE-APPROVAL FSMC CHECKLIST'!$B$6)+1 ),  ROWS('SA PRE-APPROVAL FSMC CHECKLIST'!$B$6:$B7)) ),""), "")</f>
        <v/>
      </c>
      <c r="AA5" s="56" t="str">
        <f>IFERROR(VLOOKUP(Z5,'SA PRE-APPROVAL FSMC CHECKLIST'!$B:$H,9,0),"")</f>
        <v/>
      </c>
      <c r="AB5" s="63"/>
      <c r="AC5" s="63"/>
      <c r="AD5" s="64"/>
      <c r="AE5" s="65"/>
      <c r="AF5" s="65"/>
      <c r="AG5" s="65"/>
      <c r="AH5" s="65"/>
      <c r="AI5" s="65"/>
      <c r="AJ5" s="65"/>
      <c r="AK5" s="65"/>
      <c r="AL5" s="65"/>
    </row>
    <row r="6" spans="1:38" s="66" customFormat="1" ht="31.5" x14ac:dyDescent="0.25">
      <c r="A6" s="56" t="str">
        <f t="array" ref="A6">IFERROR(IF($A$2 &lt;&gt; "", INDEX('SA PRE-APPROVAL FSMC CHECKLIST'!$B$6:$B$45,  SMALL( IF( 'SA PRE-APPROVAL FSMC CHECKLIST'!$D$6:$H$45 = $A$2, ROW('SA PRE-APPROVAL FSMC CHECKLIST'!$B$6:$B$45)-ROW('SA PRE-APPROVAL FSMC CHECKLIST'!$B$6)+1 ),  ROWS('SA PRE-APPROVAL FSMC CHECKLIST'!$B$6:$B8)) ),""), "")</f>
        <v xml:space="preserve">  a)  Initial contract duration limited to 1 year?  [7 CFR 210.16(d)]</v>
      </c>
      <c r="B6" s="56" t="str">
        <f>IFERROR(VLOOKUP(A6,'SA PRE-APPROVAL FSMC CHECKLIST'!$B:$H,9,0),"")</f>
        <v/>
      </c>
      <c r="C6" s="63"/>
      <c r="D6" s="63"/>
      <c r="E6" s="64"/>
      <c r="F6" s="56" t="str">
        <f t="array" ref="F6">IFERROR(IF($F$2 &lt;&gt; "", INDEX('SA PRE-APPROVAL FSMC CHECKLIST'!$B$6:$B$45,  SMALL( IF( 'SA PRE-APPROVAL FSMC CHECKLIST'!$D$6:$H$45 = $F$2, ROW('SA PRE-APPROVAL FSMC CHECKLIST'!$B$6:$B$45)-ROW('SA PRE-APPROVAL FSMC CHECKLIST'!$B$6)+1 ),  ROWS('SA PRE-APPROVAL FSMC CHECKLIST'!$B$6:$B8)) ),""), "")</f>
        <v/>
      </c>
      <c r="G6" s="56" t="str">
        <f>IFERROR(VLOOKUP(F6,'SA PRE-APPROVAL FSMC CHECKLIST'!$B:$H,9,0),"")</f>
        <v/>
      </c>
      <c r="H6" s="63"/>
      <c r="I6" s="63"/>
      <c r="J6" s="64"/>
      <c r="K6" s="56" t="str">
        <f t="array" ref="K6">IFERROR(IF($K$2 &lt;&gt; "", INDEX('SA PRE-APPROVAL FSMC CHECKLIST'!$B$6:$B$45,  SMALL( IF( 'SA PRE-APPROVAL FSMC CHECKLIST'!$D$6:$H$45 = $K$2, ROW('SA PRE-APPROVAL FSMC CHECKLIST'!$B$6:$B$45)-ROW('SA PRE-APPROVAL FSMC CHECKLIST'!$B$6)+1 ),  ROWS('SA PRE-APPROVAL FSMC CHECKLIST'!$B$6:$B8)) ),""), "")</f>
        <v/>
      </c>
      <c r="L6" s="56" t="str">
        <f>IFERROR(VLOOKUP(K6,'SA PRE-APPROVAL FSMC CHECKLIST'!$B:$H,9,0),"")</f>
        <v/>
      </c>
      <c r="M6" s="63"/>
      <c r="N6" s="63"/>
      <c r="O6" s="64"/>
      <c r="P6" s="56" t="str">
        <f t="array" ref="P6">IFERROR(IF($P$2 &lt;&gt; "", INDEX('SA PRE-APPROVAL FSMC CHECKLIST'!$B$6:$B$45,  SMALL( IF( 'SA PRE-APPROVAL FSMC CHECKLIST'!$D$6:$H$45 = $P$2, ROW('SA PRE-APPROVAL FSMC CHECKLIST'!$B$6:$B$45)-ROW('SA PRE-APPROVAL FSMC CHECKLIST'!$B$6)+1 ),  ROWS('SA PRE-APPROVAL FSMC CHECKLIST'!$B$6:$B8)) ),""), "")</f>
        <v/>
      </c>
      <c r="Q6" s="56" t="str">
        <f>IFERROR(VLOOKUP(P6,'SA PRE-APPROVAL FSMC CHECKLIST'!$B:$H,9,0),"")</f>
        <v/>
      </c>
      <c r="R6" s="63"/>
      <c r="S6" s="63"/>
      <c r="T6" s="64"/>
      <c r="U6" s="56" t="str">
        <f t="array" ref="U6">IFERROR(IF($U$2 &lt;&gt; "", INDEX('SA PRE-APPROVAL FSMC CHECKLIST'!$B$6:$B$45,  SMALL( IF( 'SA PRE-APPROVAL FSMC CHECKLIST'!$D$6:$H$45 = $U$2, ROW('SA PRE-APPROVAL FSMC CHECKLIST'!$B$6:$B$45)-ROW('SA PRE-APPROVAL FSMC CHECKLIST'!$B$6)+1 ),  ROWS('SA PRE-APPROVAL FSMC CHECKLIST'!$B$6:$B8)) ),""), "")</f>
        <v/>
      </c>
      <c r="V6" s="56" t="str">
        <f>IFERROR(VLOOKUP(U6,'SA PRE-APPROVAL FSMC CHECKLIST'!$B:$H,9,0),"")</f>
        <v/>
      </c>
      <c r="W6" s="63"/>
      <c r="X6" s="63"/>
      <c r="Y6" s="64"/>
      <c r="Z6" s="56" t="str">
        <f t="array" ref="Z6">IFERROR(IF($Z$2 &lt;&gt; "", INDEX('SA PRE-APPROVAL FSMC CHECKLIST'!$B$6:$B$45,  SMALL( IF( 'SA PRE-APPROVAL FSMC CHECKLIST'!$D$6:$H$45 = $Z$2, ROW('SA PRE-APPROVAL FSMC CHECKLIST'!$B$6:$B$45)-ROW('SA PRE-APPROVAL FSMC CHECKLIST'!$B$6)+1 ),  ROWS('SA PRE-APPROVAL FSMC CHECKLIST'!$B$6:$B8)) ),""), "")</f>
        <v/>
      </c>
      <c r="AA6" s="56" t="str">
        <f>IFERROR(VLOOKUP(Z6,'SA PRE-APPROVAL FSMC CHECKLIST'!$B:$H,9,0),"")</f>
        <v/>
      </c>
      <c r="AB6" s="63"/>
      <c r="AC6" s="63"/>
      <c r="AD6" s="64"/>
      <c r="AE6" s="65"/>
      <c r="AF6" s="65"/>
      <c r="AG6" s="65"/>
      <c r="AH6" s="65"/>
      <c r="AI6" s="65"/>
      <c r="AJ6" s="65"/>
      <c r="AK6" s="65"/>
      <c r="AL6" s="65"/>
    </row>
    <row r="7" spans="1:38" s="66" customFormat="1" ht="47.25" x14ac:dyDescent="0.25">
      <c r="A7" s="56" t="str">
        <f t="array" ref="A7">IFERROR(IF($A$2 &lt;&gt; "", INDEX('SA PRE-APPROVAL FSMC CHECKLIST'!$B$6:$B$45,  SMALL( IF( 'SA PRE-APPROVAL FSMC CHECKLIST'!$D$6:$H$45 = $A$2, ROW('SA PRE-APPROVAL FSMC CHECKLIST'!$B$6:$B$45)-ROW('SA PRE-APPROVAL FSMC CHECKLIST'!$B$6)+1 ),  ROWS('SA PRE-APPROVAL FSMC CHECKLIST'!$B$6:$B9)) ),""), "")</f>
        <v xml:space="preserve"> b)  Contract renewal options do not exceed 4-1 year optional renewals? [7 CFR 210.16(d)]</v>
      </c>
      <c r="B7" s="56" t="str">
        <f>IFERROR(VLOOKUP(A7,'SA PRE-APPROVAL FSMC CHECKLIST'!$B:$H,9,0),"")</f>
        <v/>
      </c>
      <c r="C7" s="63"/>
      <c r="D7" s="63"/>
      <c r="E7" s="64"/>
      <c r="F7" s="56" t="str">
        <f t="array" ref="F7">IFERROR(IF($F$2 &lt;&gt; "", INDEX('SA PRE-APPROVAL FSMC CHECKLIST'!$B$6:$B$45,  SMALL( IF( 'SA PRE-APPROVAL FSMC CHECKLIST'!$D$6:$H$45 = $F$2, ROW('SA PRE-APPROVAL FSMC CHECKLIST'!$B$6:$B$45)-ROW('SA PRE-APPROVAL FSMC CHECKLIST'!$B$6)+1 ),  ROWS('SA PRE-APPROVAL FSMC CHECKLIST'!$B$6:$B9)) ),""), "")</f>
        <v/>
      </c>
      <c r="G7" s="56" t="str">
        <f>IFERROR(VLOOKUP(F7,'SA PRE-APPROVAL FSMC CHECKLIST'!$B:$H,9,0),"")</f>
        <v/>
      </c>
      <c r="H7" s="63"/>
      <c r="I7" s="63"/>
      <c r="J7" s="64"/>
      <c r="K7" s="56" t="str">
        <f t="array" ref="K7">IFERROR(IF($K$2 &lt;&gt; "", INDEX('SA PRE-APPROVAL FSMC CHECKLIST'!$B$6:$B$45,  SMALL( IF( 'SA PRE-APPROVAL FSMC CHECKLIST'!$D$6:$H$45 = $K$2, ROW('SA PRE-APPROVAL FSMC CHECKLIST'!$B$6:$B$45)-ROW('SA PRE-APPROVAL FSMC CHECKLIST'!$B$6)+1 ),  ROWS('SA PRE-APPROVAL FSMC CHECKLIST'!$B$6:$B9)) ),""), "")</f>
        <v/>
      </c>
      <c r="L7" s="56" t="str">
        <f>IFERROR(VLOOKUP(K7,'SA PRE-APPROVAL FSMC CHECKLIST'!$B:$H,9,0),"")</f>
        <v/>
      </c>
      <c r="M7" s="63"/>
      <c r="N7" s="63"/>
      <c r="O7" s="64"/>
      <c r="P7" s="56" t="str">
        <f t="array" ref="P7">IFERROR(IF($P$2 &lt;&gt; "", INDEX('SA PRE-APPROVAL FSMC CHECKLIST'!$B$6:$B$45,  SMALL( IF( 'SA PRE-APPROVAL FSMC CHECKLIST'!$D$6:$H$45 = $P$2, ROW('SA PRE-APPROVAL FSMC CHECKLIST'!$B$6:$B$45)-ROW('SA PRE-APPROVAL FSMC CHECKLIST'!$B$6)+1 ),  ROWS('SA PRE-APPROVAL FSMC CHECKLIST'!$B$6:$B9)) ),""), "")</f>
        <v/>
      </c>
      <c r="Q7" s="56" t="str">
        <f>IFERROR(VLOOKUP(P7,'SA PRE-APPROVAL FSMC CHECKLIST'!$B:$H,9,0),"")</f>
        <v/>
      </c>
      <c r="R7" s="63"/>
      <c r="S7" s="63"/>
      <c r="T7" s="64"/>
      <c r="U7" s="56" t="str">
        <f t="array" ref="U7">IFERROR(IF($U$2 &lt;&gt; "", INDEX('SA PRE-APPROVAL FSMC CHECKLIST'!$B$6:$B$45,  SMALL( IF( 'SA PRE-APPROVAL FSMC CHECKLIST'!$D$6:$H$45 = $U$2, ROW('SA PRE-APPROVAL FSMC CHECKLIST'!$B$6:$B$45)-ROW('SA PRE-APPROVAL FSMC CHECKLIST'!$B$6)+1 ),  ROWS('SA PRE-APPROVAL FSMC CHECKLIST'!$B$6:$B9)) ),""), "")</f>
        <v/>
      </c>
      <c r="V7" s="56" t="str">
        <f>IFERROR(VLOOKUP(U7,'SA PRE-APPROVAL FSMC CHECKLIST'!$B:$H,9,0),"")</f>
        <v/>
      </c>
      <c r="W7" s="63"/>
      <c r="X7" s="63"/>
      <c r="Y7" s="64"/>
      <c r="Z7" s="56" t="str">
        <f t="array" ref="Z7">IFERROR(IF($Z$2 &lt;&gt; "", INDEX('SA PRE-APPROVAL FSMC CHECKLIST'!$B$6:$B$45,  SMALL( IF( 'SA PRE-APPROVAL FSMC CHECKLIST'!$D$6:$H$45 = $Z$2, ROW('SA PRE-APPROVAL FSMC CHECKLIST'!$B$6:$B$45)-ROW('SA PRE-APPROVAL FSMC CHECKLIST'!$B$6)+1 ),  ROWS('SA PRE-APPROVAL FSMC CHECKLIST'!$B$6:$B9)) ),""), "")</f>
        <v/>
      </c>
      <c r="AA7" s="56" t="str">
        <f>IFERROR(VLOOKUP(Z7,'SA PRE-APPROVAL FSMC CHECKLIST'!$B:$H,9,0),"")</f>
        <v/>
      </c>
      <c r="AB7" s="63"/>
      <c r="AC7" s="63"/>
      <c r="AD7" s="64"/>
      <c r="AE7" s="65"/>
      <c r="AF7" s="65"/>
      <c r="AG7" s="65"/>
      <c r="AH7" s="65"/>
      <c r="AI7" s="65"/>
      <c r="AJ7" s="65"/>
      <c r="AK7" s="65"/>
      <c r="AL7" s="65"/>
    </row>
    <row r="8" spans="1:38" s="66" customFormat="1" ht="47.25" x14ac:dyDescent="0.25">
      <c r="A8" s="56" t="str">
        <f t="array" ref="A8">IFERROR(IF($A$2 &lt;&gt; "", INDEX('SA PRE-APPROVAL FSMC CHECKLIST'!$B$6:$B$45,  SMALL( IF( 'SA PRE-APPROVAL FSMC CHECKLIST'!$D$6:$H$45 = $A$2, ROW('SA PRE-APPROVAL FSMC CHECKLIST'!$B$6:$B$45)-ROW('SA PRE-APPROVAL FSMC CHECKLIST'!$B$6)+1 ),  ROWS('SA PRE-APPROVAL FSMC CHECKLIST'!$B$6:$B10)) ),""), "")</f>
        <v xml:space="preserve"> b)  Contract renewal options do not exceed 4-1 year optional renewals? [7 CFR 210.16(d)]</v>
      </c>
      <c r="B8" s="56" t="str">
        <f>IFERROR(VLOOKUP(A8,'SA PRE-APPROVAL FSMC CHECKLIST'!$B:$H,9,0),"")</f>
        <v/>
      </c>
      <c r="C8" s="63"/>
      <c r="D8" s="63"/>
      <c r="E8" s="64"/>
      <c r="F8" s="56" t="str">
        <f t="array" ref="F8">IFERROR(IF($F$2 &lt;&gt; "", INDEX('SA PRE-APPROVAL FSMC CHECKLIST'!$B$6:$B$45,  SMALL( IF( 'SA PRE-APPROVAL FSMC CHECKLIST'!$D$6:$H$45 = $F$2, ROW('SA PRE-APPROVAL FSMC CHECKLIST'!$B$6:$B$45)-ROW('SA PRE-APPROVAL FSMC CHECKLIST'!$B$6)+1 ),  ROWS('SA PRE-APPROVAL FSMC CHECKLIST'!$B$6:$B10)) ),""), "")</f>
        <v/>
      </c>
      <c r="G8" s="56" t="str">
        <f>IFERROR(VLOOKUP(F8,'SA PRE-APPROVAL FSMC CHECKLIST'!$B:$H,9,0),"")</f>
        <v/>
      </c>
      <c r="H8" s="63"/>
      <c r="I8" s="63"/>
      <c r="J8" s="64"/>
      <c r="K8" s="56" t="str">
        <f t="array" ref="K8">IFERROR(IF($K$2 &lt;&gt; "", INDEX('SA PRE-APPROVAL FSMC CHECKLIST'!$B$6:$B$45,  SMALL( IF( 'SA PRE-APPROVAL FSMC CHECKLIST'!$D$6:$H$45 = $K$2, ROW('SA PRE-APPROVAL FSMC CHECKLIST'!$B$6:$B$45)-ROW('SA PRE-APPROVAL FSMC CHECKLIST'!$B$6)+1 ),  ROWS('SA PRE-APPROVAL FSMC CHECKLIST'!$B$6:$B10)) ),""), "")</f>
        <v/>
      </c>
      <c r="L8" s="56" t="str">
        <f>IFERROR(VLOOKUP(K8,'SA PRE-APPROVAL FSMC CHECKLIST'!$B:$H,9,0),"")</f>
        <v/>
      </c>
      <c r="M8" s="63"/>
      <c r="N8" s="63"/>
      <c r="O8" s="64"/>
      <c r="P8" s="56" t="str">
        <f t="array" ref="P8">IFERROR(IF($P$2 &lt;&gt; "", INDEX('SA PRE-APPROVAL FSMC CHECKLIST'!$B$6:$B$45,  SMALL( IF( 'SA PRE-APPROVAL FSMC CHECKLIST'!$D$6:$H$45 = $P$2, ROW('SA PRE-APPROVAL FSMC CHECKLIST'!$B$6:$B$45)-ROW('SA PRE-APPROVAL FSMC CHECKLIST'!$B$6)+1 ),  ROWS('SA PRE-APPROVAL FSMC CHECKLIST'!$B$6:$B10)) ),""), "")</f>
        <v/>
      </c>
      <c r="Q8" s="56" t="str">
        <f>IFERROR(VLOOKUP(P8,'SA PRE-APPROVAL FSMC CHECKLIST'!$B:$H,9,0),"")</f>
        <v/>
      </c>
      <c r="R8" s="63"/>
      <c r="S8" s="63"/>
      <c r="T8" s="64"/>
      <c r="U8" s="56" t="str">
        <f t="array" ref="U8">IFERROR(IF($U$2 &lt;&gt; "", INDEX('SA PRE-APPROVAL FSMC CHECKLIST'!$B$6:$B$45,  SMALL( IF( 'SA PRE-APPROVAL FSMC CHECKLIST'!$D$6:$H$45 = $U$2, ROW('SA PRE-APPROVAL FSMC CHECKLIST'!$B$6:$B$45)-ROW('SA PRE-APPROVAL FSMC CHECKLIST'!$B$6)+1 ),  ROWS('SA PRE-APPROVAL FSMC CHECKLIST'!$B$6:$B10)) ),""), "")</f>
        <v/>
      </c>
      <c r="V8" s="56" t="str">
        <f>IFERROR(VLOOKUP(U8,'SA PRE-APPROVAL FSMC CHECKLIST'!$B:$H,9,0),"")</f>
        <v/>
      </c>
      <c r="W8" s="63"/>
      <c r="X8" s="63"/>
      <c r="Y8" s="64"/>
      <c r="Z8" s="56" t="str">
        <f t="array" ref="Z8">IFERROR(IF($Z$2 &lt;&gt; "", INDEX('SA PRE-APPROVAL FSMC CHECKLIST'!$B$6:$B$45,  SMALL( IF( 'SA PRE-APPROVAL FSMC CHECKLIST'!$D$6:$H$45 = $Z$2, ROW('SA PRE-APPROVAL FSMC CHECKLIST'!$B$6:$B$45)-ROW('SA PRE-APPROVAL FSMC CHECKLIST'!$B$6)+1 ),  ROWS('SA PRE-APPROVAL FSMC CHECKLIST'!$B$6:$B10)) ),""), "")</f>
        <v/>
      </c>
      <c r="AA8" s="56" t="str">
        <f>IFERROR(VLOOKUP(Z8,'SA PRE-APPROVAL FSMC CHECKLIST'!$B:$H,9,0),"")</f>
        <v/>
      </c>
      <c r="AB8" s="63"/>
      <c r="AC8" s="63"/>
      <c r="AD8" s="64"/>
      <c r="AE8" s="65"/>
      <c r="AF8" s="65"/>
      <c r="AG8" s="65"/>
      <c r="AH8" s="65"/>
      <c r="AI8" s="65"/>
      <c r="AJ8" s="65"/>
      <c r="AK8" s="65"/>
      <c r="AL8" s="65"/>
    </row>
    <row r="9" spans="1:38" s="66" customFormat="1" ht="47.25" x14ac:dyDescent="0.25">
      <c r="A9" s="56" t="str">
        <f t="array" ref="A9">IFERROR(IF($A$2 &lt;&gt; "", INDEX('SA PRE-APPROVAL FSMC CHECKLIST'!$B$6:$B$45,  SMALL( IF( 'SA PRE-APPROVAL FSMC CHECKLIST'!$D$6:$H$45 = $A$2, ROW('SA PRE-APPROVAL FSMC CHECKLIST'!$B$6:$B$45)-ROW('SA PRE-APPROVAL FSMC CHECKLIST'!$B$6)+1 ),  ROWS('SA PRE-APPROVAL FSMC CHECKLIST'!$B$6:$B11)) ),""), "")</f>
        <v xml:space="preserve"> b)  Contract renewal options do not exceed 4-1 year optional renewals? [7 CFR 210.16(d)]</v>
      </c>
      <c r="B9" s="56" t="str">
        <f>IFERROR(VLOOKUP(A9,'SA PRE-APPROVAL FSMC CHECKLIST'!$B:$H,9,0),"")</f>
        <v/>
      </c>
      <c r="C9" s="63"/>
      <c r="D9" s="63"/>
      <c r="E9" s="64"/>
      <c r="F9" s="56" t="str">
        <f t="array" ref="F9">IFERROR(IF($F$2 &lt;&gt; "", INDEX('SA PRE-APPROVAL FSMC CHECKLIST'!$B$6:$B$45,  SMALL( IF( 'SA PRE-APPROVAL FSMC CHECKLIST'!$D$6:$H$45 = $F$2, ROW('SA PRE-APPROVAL FSMC CHECKLIST'!$B$6:$B$45)-ROW('SA PRE-APPROVAL FSMC CHECKLIST'!$B$6)+1 ),  ROWS('SA PRE-APPROVAL FSMC CHECKLIST'!$B$6:$B11)) ),""), "")</f>
        <v/>
      </c>
      <c r="G9" s="56" t="str">
        <f>IFERROR(VLOOKUP(F9,'SA PRE-APPROVAL FSMC CHECKLIST'!$B:$H,9,0),"")</f>
        <v/>
      </c>
      <c r="H9" s="63"/>
      <c r="I9" s="63"/>
      <c r="J9" s="64"/>
      <c r="K9" s="56" t="str">
        <f t="array" ref="K9">IFERROR(IF($K$2 &lt;&gt; "", INDEX('SA PRE-APPROVAL FSMC CHECKLIST'!$B$6:$B$45,  SMALL( IF( 'SA PRE-APPROVAL FSMC CHECKLIST'!$D$6:$H$45 = $K$2, ROW('SA PRE-APPROVAL FSMC CHECKLIST'!$B$6:$B$45)-ROW('SA PRE-APPROVAL FSMC CHECKLIST'!$B$6)+1 ),  ROWS('SA PRE-APPROVAL FSMC CHECKLIST'!$B$6:$B11)) ),""), "")</f>
        <v/>
      </c>
      <c r="L9" s="56" t="str">
        <f>IFERROR(VLOOKUP(K9,'SA PRE-APPROVAL FSMC CHECKLIST'!$B:$H,9,0),"")</f>
        <v/>
      </c>
      <c r="M9" s="63"/>
      <c r="N9" s="63"/>
      <c r="O9" s="64"/>
      <c r="P9" s="56" t="str">
        <f t="array" ref="P9">IFERROR(IF($P$2 &lt;&gt; "", INDEX('SA PRE-APPROVAL FSMC CHECKLIST'!$B$6:$B$45,  SMALL( IF( 'SA PRE-APPROVAL FSMC CHECKLIST'!$D$6:$H$45 = $P$2, ROW('SA PRE-APPROVAL FSMC CHECKLIST'!$B$6:$B$45)-ROW('SA PRE-APPROVAL FSMC CHECKLIST'!$B$6)+1 ),  ROWS('SA PRE-APPROVAL FSMC CHECKLIST'!$B$6:$B11)) ),""), "")</f>
        <v/>
      </c>
      <c r="Q9" s="56" t="str">
        <f>IFERROR(VLOOKUP(P9,'SA PRE-APPROVAL FSMC CHECKLIST'!$B:$H,9,0),"")</f>
        <v/>
      </c>
      <c r="R9" s="63"/>
      <c r="S9" s="63"/>
      <c r="T9" s="64"/>
      <c r="U9" s="56" t="str">
        <f t="array" ref="U9">IFERROR(IF($U$2 &lt;&gt; "", INDEX('SA PRE-APPROVAL FSMC CHECKLIST'!$B$6:$B$45,  SMALL( IF( 'SA PRE-APPROVAL FSMC CHECKLIST'!$D$6:$H$45 = $U$2, ROW('SA PRE-APPROVAL FSMC CHECKLIST'!$B$6:$B$45)-ROW('SA PRE-APPROVAL FSMC CHECKLIST'!$B$6)+1 ),  ROWS('SA PRE-APPROVAL FSMC CHECKLIST'!$B$6:$B11)) ),""), "")</f>
        <v/>
      </c>
      <c r="V9" s="56" t="str">
        <f>IFERROR(VLOOKUP(U9,'SA PRE-APPROVAL FSMC CHECKLIST'!$B:$H,9,0),"")</f>
        <v/>
      </c>
      <c r="W9" s="63"/>
      <c r="X9" s="63"/>
      <c r="Y9" s="64"/>
      <c r="Z9" s="56" t="str">
        <f t="array" ref="Z9">IFERROR(IF($Z$2 &lt;&gt; "", INDEX('SA PRE-APPROVAL FSMC CHECKLIST'!$B$6:$B$45,  SMALL( IF( 'SA PRE-APPROVAL FSMC CHECKLIST'!$D$6:$H$45 = $Z$2, ROW('SA PRE-APPROVAL FSMC CHECKLIST'!$B$6:$B$45)-ROW('SA PRE-APPROVAL FSMC CHECKLIST'!$B$6)+1 ),  ROWS('SA PRE-APPROVAL FSMC CHECKLIST'!$B$6:$B11)) ),""), "")</f>
        <v/>
      </c>
      <c r="AA9" s="56" t="str">
        <f>IFERROR(VLOOKUP(Z9,'SA PRE-APPROVAL FSMC CHECKLIST'!$B:$H,9,0),"")</f>
        <v/>
      </c>
      <c r="AB9" s="63"/>
      <c r="AC9" s="63"/>
      <c r="AD9" s="64"/>
      <c r="AE9" s="65"/>
      <c r="AF9" s="65"/>
      <c r="AG9" s="65"/>
      <c r="AH9" s="65"/>
      <c r="AI9" s="65"/>
      <c r="AJ9" s="65"/>
      <c r="AK9" s="65"/>
      <c r="AL9" s="65"/>
    </row>
    <row r="10" spans="1:38" s="66" customFormat="1" ht="47.25" x14ac:dyDescent="0.25">
      <c r="A10" s="56" t="str">
        <f t="array" ref="A10">IFERROR(IF($A$2 &lt;&gt; "", INDEX('SA PRE-APPROVAL FSMC CHECKLIST'!$B$6:$B$45,  SMALL( IF( 'SA PRE-APPROVAL FSMC CHECKLIST'!$D$6:$H$45 = $A$2, ROW('SA PRE-APPROVAL FSMC CHECKLIST'!$B$6:$B$45)-ROW('SA PRE-APPROVAL FSMC CHECKLIST'!$B$6)+1 ),  ROWS('SA PRE-APPROVAL FSMC CHECKLIST'!$B$6:$B12)) ),""), "")</f>
        <v xml:space="preserve"> b)  Contract renewal options do not exceed 4-1 year optional renewals? [7 CFR 210.16(d)]</v>
      </c>
      <c r="B10" s="56" t="str">
        <f>IFERROR(VLOOKUP(A10,'SA PRE-APPROVAL FSMC CHECKLIST'!$B:$H,9,0),"")</f>
        <v/>
      </c>
      <c r="C10" s="63"/>
      <c r="D10" s="63"/>
      <c r="E10" s="64"/>
      <c r="F10" s="56" t="str">
        <f t="array" ref="F10">IFERROR(IF($F$2 &lt;&gt; "", INDEX('SA PRE-APPROVAL FSMC CHECKLIST'!$B$6:$B$45,  SMALL( IF( 'SA PRE-APPROVAL FSMC CHECKLIST'!$D$6:$H$45 = $F$2, ROW('SA PRE-APPROVAL FSMC CHECKLIST'!$B$6:$B$45)-ROW('SA PRE-APPROVAL FSMC CHECKLIST'!$B$6)+1 ),  ROWS('SA PRE-APPROVAL FSMC CHECKLIST'!$B$6:$B12)) ),""), "")</f>
        <v/>
      </c>
      <c r="G10" s="56" t="str">
        <f>IFERROR(VLOOKUP(F10,'SA PRE-APPROVAL FSMC CHECKLIST'!$B:$H,9,0),"")</f>
        <v/>
      </c>
      <c r="H10" s="63"/>
      <c r="I10" s="63"/>
      <c r="J10" s="64"/>
      <c r="K10" s="56" t="str">
        <f t="array" ref="K10">IFERROR(IF($K$2 &lt;&gt; "", INDEX('SA PRE-APPROVAL FSMC CHECKLIST'!$B$6:$B$45,  SMALL( IF( 'SA PRE-APPROVAL FSMC CHECKLIST'!$D$6:$H$45 = $K$2, ROW('SA PRE-APPROVAL FSMC CHECKLIST'!$B$6:$B$45)-ROW('SA PRE-APPROVAL FSMC CHECKLIST'!$B$6)+1 ),  ROWS('SA PRE-APPROVAL FSMC CHECKLIST'!$B$6:$B12)) ),""), "")</f>
        <v/>
      </c>
      <c r="L10" s="56" t="str">
        <f>IFERROR(VLOOKUP(K10,'SA PRE-APPROVAL FSMC CHECKLIST'!$B:$H,9,0),"")</f>
        <v/>
      </c>
      <c r="M10" s="63"/>
      <c r="N10" s="63"/>
      <c r="O10" s="64"/>
      <c r="P10" s="56" t="str">
        <f t="array" ref="P10">IFERROR(IF($P$2 &lt;&gt; "", INDEX('SA PRE-APPROVAL FSMC CHECKLIST'!$B$6:$B$45,  SMALL( IF( 'SA PRE-APPROVAL FSMC CHECKLIST'!$D$6:$H$45 = $P$2, ROW('SA PRE-APPROVAL FSMC CHECKLIST'!$B$6:$B$45)-ROW('SA PRE-APPROVAL FSMC CHECKLIST'!$B$6)+1 ),  ROWS('SA PRE-APPROVAL FSMC CHECKLIST'!$B$6:$B12)) ),""), "")</f>
        <v/>
      </c>
      <c r="Q10" s="56" t="str">
        <f>IFERROR(VLOOKUP(P10,'SA PRE-APPROVAL FSMC CHECKLIST'!$B:$H,9,0),"")</f>
        <v/>
      </c>
      <c r="R10" s="63"/>
      <c r="S10" s="63"/>
      <c r="T10" s="64"/>
      <c r="U10" s="56" t="str">
        <f t="array" ref="U10">IFERROR(IF($U$2 &lt;&gt; "", INDEX('SA PRE-APPROVAL FSMC CHECKLIST'!$B$6:$B$45,  SMALL( IF( 'SA PRE-APPROVAL FSMC CHECKLIST'!$D$6:$H$45 = $U$2, ROW('SA PRE-APPROVAL FSMC CHECKLIST'!$B$6:$B$45)-ROW('SA PRE-APPROVAL FSMC CHECKLIST'!$B$6)+1 ),  ROWS('SA PRE-APPROVAL FSMC CHECKLIST'!$B$6:$B12)) ),""), "")</f>
        <v/>
      </c>
      <c r="V10" s="56" t="str">
        <f>IFERROR(VLOOKUP(U10,'SA PRE-APPROVAL FSMC CHECKLIST'!$B:$H,9,0),"")</f>
        <v/>
      </c>
      <c r="W10" s="63"/>
      <c r="X10" s="63"/>
      <c r="Y10" s="64"/>
      <c r="Z10" s="56" t="str">
        <f t="array" ref="Z10">IFERROR(IF($Z$2 &lt;&gt; "", INDEX('SA PRE-APPROVAL FSMC CHECKLIST'!$B$6:$B$45,  SMALL( IF( 'SA PRE-APPROVAL FSMC CHECKLIST'!$D$6:$H$45 = $Z$2, ROW('SA PRE-APPROVAL FSMC CHECKLIST'!$B$6:$B$45)-ROW('SA PRE-APPROVAL FSMC CHECKLIST'!$B$6)+1 ),  ROWS('SA PRE-APPROVAL FSMC CHECKLIST'!$B$6:$B12)) ),""), "")</f>
        <v/>
      </c>
      <c r="AA10" s="56" t="str">
        <f>IFERROR(VLOOKUP(Z10,'SA PRE-APPROVAL FSMC CHECKLIST'!$B:$H,9,0),"")</f>
        <v/>
      </c>
      <c r="AB10" s="63"/>
      <c r="AC10" s="63"/>
      <c r="AD10" s="64"/>
      <c r="AE10" s="65"/>
      <c r="AF10" s="65"/>
      <c r="AG10" s="65"/>
      <c r="AH10" s="65"/>
      <c r="AI10" s="65"/>
      <c r="AJ10" s="65"/>
      <c r="AK10" s="65"/>
      <c r="AL10" s="65"/>
    </row>
    <row r="11" spans="1:38" s="66" customFormat="1" ht="47.25" x14ac:dyDescent="0.25">
      <c r="A11" s="56" t="str">
        <f t="array" ref="A11">IFERROR(IF($A$2 &lt;&gt; "", INDEX('SA PRE-APPROVAL FSMC CHECKLIST'!$B$6:$B$45,  SMALL( IF( 'SA PRE-APPROVAL FSMC CHECKLIST'!$D$6:$H$45 = $A$2, ROW('SA PRE-APPROVAL FSMC CHECKLIST'!$B$6:$B$45)-ROW('SA PRE-APPROVAL FSMC CHECKLIST'!$B$6)+1 ),  ROWS('SA PRE-APPROVAL FSMC CHECKLIST'!$B$6:$B13)) ),""), "")</f>
        <v xml:space="preserve"> b)  Contract renewal options do not exceed 4-1 year optional renewals? [7 CFR 210.16(d)]</v>
      </c>
      <c r="B11" s="56" t="str">
        <f>IFERROR(VLOOKUP(A11,'SA PRE-APPROVAL FSMC CHECKLIST'!$B:$H,9,0),"")</f>
        <v/>
      </c>
      <c r="C11" s="63"/>
      <c r="D11" s="63"/>
      <c r="E11" s="64"/>
      <c r="F11" s="56" t="str">
        <f t="array" ref="F11">IFERROR(IF($F$2 &lt;&gt; "", INDEX('SA PRE-APPROVAL FSMC CHECKLIST'!$B$6:$B$45,  SMALL( IF( 'SA PRE-APPROVAL FSMC CHECKLIST'!$D$6:$H$45 = $F$2, ROW('SA PRE-APPROVAL FSMC CHECKLIST'!$B$6:$B$45)-ROW('SA PRE-APPROVAL FSMC CHECKLIST'!$B$6)+1 ),  ROWS('SA PRE-APPROVAL FSMC CHECKLIST'!$B$6:$B13)) ),""), "")</f>
        <v/>
      </c>
      <c r="G11" s="56" t="str">
        <f>IFERROR(VLOOKUP(F11,'SA PRE-APPROVAL FSMC CHECKLIST'!$B:$H,9,0),"")</f>
        <v/>
      </c>
      <c r="H11" s="63"/>
      <c r="I11" s="63"/>
      <c r="J11" s="64"/>
      <c r="K11" s="56" t="str">
        <f t="array" ref="K11">IFERROR(IF($K$2 &lt;&gt; "", INDEX('SA PRE-APPROVAL FSMC CHECKLIST'!$B$6:$B$45,  SMALL( IF( 'SA PRE-APPROVAL FSMC CHECKLIST'!$D$6:$H$45 = $K$2, ROW('SA PRE-APPROVAL FSMC CHECKLIST'!$B$6:$B$45)-ROW('SA PRE-APPROVAL FSMC CHECKLIST'!$B$6)+1 ),  ROWS('SA PRE-APPROVAL FSMC CHECKLIST'!$B$6:$B13)) ),""), "")</f>
        <v/>
      </c>
      <c r="L11" s="56" t="str">
        <f>IFERROR(VLOOKUP(K11,'SA PRE-APPROVAL FSMC CHECKLIST'!$B:$H,9,0),"")</f>
        <v/>
      </c>
      <c r="M11" s="63"/>
      <c r="N11" s="63"/>
      <c r="O11" s="64"/>
      <c r="P11" s="56" t="str">
        <f t="array" ref="P11">IFERROR(IF($P$2 &lt;&gt; "", INDEX('SA PRE-APPROVAL FSMC CHECKLIST'!$B$6:$B$45,  SMALL( IF( 'SA PRE-APPROVAL FSMC CHECKLIST'!$D$6:$H$45 = $P$2, ROW('SA PRE-APPROVAL FSMC CHECKLIST'!$B$6:$B$45)-ROW('SA PRE-APPROVAL FSMC CHECKLIST'!$B$6)+1 ),  ROWS('SA PRE-APPROVAL FSMC CHECKLIST'!$B$6:$B13)) ),""), "")</f>
        <v/>
      </c>
      <c r="Q11" s="56" t="str">
        <f>IFERROR(VLOOKUP(P11,'SA PRE-APPROVAL FSMC CHECKLIST'!$B:$H,9,0),"")</f>
        <v/>
      </c>
      <c r="R11" s="63"/>
      <c r="S11" s="63"/>
      <c r="T11" s="64"/>
      <c r="U11" s="56" t="str">
        <f t="array" ref="U11">IFERROR(IF($U$2 &lt;&gt; "", INDEX('SA PRE-APPROVAL FSMC CHECKLIST'!$B$6:$B$45,  SMALL( IF( 'SA PRE-APPROVAL FSMC CHECKLIST'!$D$6:$H$45 = $U$2, ROW('SA PRE-APPROVAL FSMC CHECKLIST'!$B$6:$B$45)-ROW('SA PRE-APPROVAL FSMC CHECKLIST'!$B$6)+1 ),  ROWS('SA PRE-APPROVAL FSMC CHECKLIST'!$B$6:$B13)) ),""), "")</f>
        <v/>
      </c>
      <c r="V11" s="56" t="str">
        <f>IFERROR(VLOOKUP(U11,'SA PRE-APPROVAL FSMC CHECKLIST'!$B:$H,9,0),"")</f>
        <v/>
      </c>
      <c r="W11" s="63"/>
      <c r="X11" s="63"/>
      <c r="Y11" s="64"/>
      <c r="Z11" s="56" t="str">
        <f t="array" ref="Z11">IFERROR(IF($Z$2 &lt;&gt; "", INDEX('SA PRE-APPROVAL FSMC CHECKLIST'!$B$6:$B$45,  SMALL( IF( 'SA PRE-APPROVAL FSMC CHECKLIST'!$D$6:$H$45 = $Z$2, ROW('SA PRE-APPROVAL FSMC CHECKLIST'!$B$6:$B$45)-ROW('SA PRE-APPROVAL FSMC CHECKLIST'!$B$6)+1 ),  ROWS('SA PRE-APPROVAL FSMC CHECKLIST'!$B$6:$B13)) ),""), "")</f>
        <v/>
      </c>
      <c r="AA11" s="56" t="str">
        <f>IFERROR(VLOOKUP(Z11,'SA PRE-APPROVAL FSMC CHECKLIST'!$B:$H,9,0),"")</f>
        <v/>
      </c>
      <c r="AB11" s="63"/>
      <c r="AC11" s="63"/>
      <c r="AD11" s="64"/>
      <c r="AE11" s="65"/>
      <c r="AF11" s="65"/>
      <c r="AG11" s="65"/>
      <c r="AH11" s="65"/>
      <c r="AI11" s="65"/>
      <c r="AJ11" s="65"/>
      <c r="AK11" s="65"/>
      <c r="AL11" s="65"/>
    </row>
    <row r="12" spans="1:38" s="66" customFormat="1" ht="47.25" x14ac:dyDescent="0.25">
      <c r="A12" s="56" t="str">
        <f t="array" ref="A12">IFERROR(IF($A$2 &lt;&gt; "", INDEX('SA PRE-APPROVAL FSMC CHECKLIST'!$B$6:$B$45,  SMALL( IF( 'SA PRE-APPROVAL FSMC CHECKLIST'!$D$6:$H$45 = $A$2, ROW('SA PRE-APPROVAL FSMC CHECKLIST'!$B$6:$B$45)-ROW('SA PRE-APPROVAL FSMC CHECKLIST'!$B$6)+1 ),  ROWS('SA PRE-APPROVAL FSMC CHECKLIST'!$B$6:$B14)) ),""), "")</f>
        <v xml:space="preserve"> 2) Is the SFA solicitation/contract compliant by identifing that the SFA would:  [7 CFR Part 210.16(a)]</v>
      </c>
      <c r="B12" s="56" t="str">
        <f>IFERROR(VLOOKUP(A12,'SA PRE-APPROVAL FSMC CHECKLIST'!$B:$H,9,0),"")</f>
        <v/>
      </c>
      <c r="C12" s="63"/>
      <c r="D12" s="63"/>
      <c r="E12" s="64"/>
      <c r="F12" s="56" t="str">
        <f t="array" ref="F12">IFERROR(IF($F$2 &lt;&gt; "", INDEX('SA PRE-APPROVAL FSMC CHECKLIST'!$B$6:$B$45,  SMALL( IF( 'SA PRE-APPROVAL FSMC CHECKLIST'!$D$6:$H$45 = $F$2, ROW('SA PRE-APPROVAL FSMC CHECKLIST'!$B$6:$B$45)-ROW('SA PRE-APPROVAL FSMC CHECKLIST'!$B$6)+1 ),  ROWS('SA PRE-APPROVAL FSMC CHECKLIST'!$B$6:$B14)) ),""), "")</f>
        <v/>
      </c>
      <c r="G12" s="56" t="str">
        <f>IFERROR(VLOOKUP(F12,'SA PRE-APPROVAL FSMC CHECKLIST'!$B:$H,9,0),"")</f>
        <v/>
      </c>
      <c r="H12" s="63"/>
      <c r="I12" s="63"/>
      <c r="J12" s="64"/>
      <c r="K12" s="56" t="str">
        <f t="array" ref="K12">IFERROR(IF($K$2 &lt;&gt; "", INDEX('SA PRE-APPROVAL FSMC CHECKLIST'!$B$6:$B$45,  SMALL( IF( 'SA PRE-APPROVAL FSMC CHECKLIST'!$D$6:$H$45 = $K$2, ROW('SA PRE-APPROVAL FSMC CHECKLIST'!$B$6:$B$45)-ROW('SA PRE-APPROVAL FSMC CHECKLIST'!$B$6)+1 ),  ROWS('SA PRE-APPROVAL FSMC CHECKLIST'!$B$6:$B14)) ),""), "")</f>
        <v/>
      </c>
      <c r="L12" s="56" t="str">
        <f>IFERROR(VLOOKUP(K12,'SA PRE-APPROVAL FSMC CHECKLIST'!$B:$H,9,0),"")</f>
        <v/>
      </c>
      <c r="M12" s="63"/>
      <c r="N12" s="63"/>
      <c r="O12" s="64"/>
      <c r="P12" s="56" t="str">
        <f t="array" ref="P12">IFERROR(IF($P$2 &lt;&gt; "", INDEX('SA PRE-APPROVAL FSMC CHECKLIST'!$B$6:$B$45,  SMALL( IF( 'SA PRE-APPROVAL FSMC CHECKLIST'!$D$6:$H$45 = $P$2, ROW('SA PRE-APPROVAL FSMC CHECKLIST'!$B$6:$B$45)-ROW('SA PRE-APPROVAL FSMC CHECKLIST'!$B$6)+1 ),  ROWS('SA PRE-APPROVAL FSMC CHECKLIST'!$B$6:$B14)) ),""), "")</f>
        <v/>
      </c>
      <c r="Q12" s="56" t="str">
        <f>IFERROR(VLOOKUP(P12,'SA PRE-APPROVAL FSMC CHECKLIST'!$B:$H,9,0),"")</f>
        <v/>
      </c>
      <c r="R12" s="63"/>
      <c r="S12" s="63"/>
      <c r="T12" s="64"/>
      <c r="U12" s="56" t="str">
        <f t="array" ref="U12">IFERROR(IF($U$2 &lt;&gt; "", INDEX('SA PRE-APPROVAL FSMC CHECKLIST'!$B$6:$B$45,  SMALL( IF( 'SA PRE-APPROVAL FSMC CHECKLIST'!$D$6:$H$45 = $U$2, ROW('SA PRE-APPROVAL FSMC CHECKLIST'!$B$6:$B$45)-ROW('SA PRE-APPROVAL FSMC CHECKLIST'!$B$6)+1 ),  ROWS('SA PRE-APPROVAL FSMC CHECKLIST'!$B$6:$B14)) ),""), "")</f>
        <v/>
      </c>
      <c r="V12" s="56" t="str">
        <f>IFERROR(VLOOKUP(U12,'SA PRE-APPROVAL FSMC CHECKLIST'!$B:$H,9,0),"")</f>
        <v/>
      </c>
      <c r="W12" s="63"/>
      <c r="X12" s="63"/>
      <c r="Y12" s="64"/>
      <c r="Z12" s="56" t="str">
        <f t="array" ref="Z12">IFERROR(IF($Z$2 &lt;&gt; "", INDEX('SA PRE-APPROVAL FSMC CHECKLIST'!$B$6:$B$45,  SMALL( IF( 'SA PRE-APPROVAL FSMC CHECKLIST'!$D$6:$H$45 = $Z$2, ROW('SA PRE-APPROVAL FSMC CHECKLIST'!$B$6:$B$45)-ROW('SA PRE-APPROVAL FSMC CHECKLIST'!$B$6)+1 ),  ROWS('SA PRE-APPROVAL FSMC CHECKLIST'!$B$6:$B14)) ),""), "")</f>
        <v/>
      </c>
      <c r="AA12" s="56" t="str">
        <f>IFERROR(VLOOKUP(Z12,'SA PRE-APPROVAL FSMC CHECKLIST'!$B:$H,9,0),"")</f>
        <v/>
      </c>
      <c r="AB12" s="63"/>
      <c r="AC12" s="63"/>
      <c r="AD12" s="64"/>
      <c r="AE12" s="65"/>
      <c r="AF12" s="65"/>
      <c r="AG12" s="65"/>
      <c r="AH12" s="65"/>
      <c r="AI12" s="65"/>
      <c r="AJ12" s="65"/>
      <c r="AK12" s="65"/>
      <c r="AL12" s="65"/>
    </row>
    <row r="13" spans="1:38" s="66" customFormat="1" ht="47.25" x14ac:dyDescent="0.25">
      <c r="A13" s="56" t="str">
        <f t="array" ref="A13">IFERROR(IF($A$2 &lt;&gt; "", INDEX('SA PRE-APPROVAL FSMC CHECKLIST'!$B$6:$B$45,  SMALL( IF( 'SA PRE-APPROVAL FSMC CHECKLIST'!$D$6:$H$45 = $A$2, ROW('SA PRE-APPROVAL FSMC CHECKLIST'!$B$6:$B$45)-ROW('SA PRE-APPROVAL FSMC CHECKLIST'!$B$6)+1 ),  ROWS('SA PRE-APPROVAL FSMC CHECKLIST'!$B$6:$B15)) ),""), "")</f>
        <v xml:space="preserve"> 2) Is the SFA solicitation/contract compliant by identifing that the SFA would:  [7 CFR Part 210.16(a)]</v>
      </c>
      <c r="B13" s="56" t="str">
        <f>IFERROR(VLOOKUP(A13,'SA PRE-APPROVAL FSMC CHECKLIST'!$B:$H,9,0),"")</f>
        <v/>
      </c>
      <c r="C13" s="63"/>
      <c r="D13" s="63"/>
      <c r="E13" s="64"/>
      <c r="F13" s="56" t="str">
        <f t="array" ref="F13">IFERROR(IF($F$2 &lt;&gt; "", INDEX('SA PRE-APPROVAL FSMC CHECKLIST'!$B$6:$B$45,  SMALL( IF( 'SA PRE-APPROVAL FSMC CHECKLIST'!$D$6:$H$45 = $F$2, ROW('SA PRE-APPROVAL FSMC CHECKLIST'!$B$6:$B$45)-ROW('SA PRE-APPROVAL FSMC CHECKLIST'!$B$6)+1 ),  ROWS('SA PRE-APPROVAL FSMC CHECKLIST'!$B$6:$B15)) ),""), "")</f>
        <v/>
      </c>
      <c r="G13" s="56" t="str">
        <f>IFERROR(VLOOKUP(F13,'SA PRE-APPROVAL FSMC CHECKLIST'!$B:$H,9,0),"")</f>
        <v/>
      </c>
      <c r="H13" s="63"/>
      <c r="I13" s="63"/>
      <c r="J13" s="64"/>
      <c r="K13" s="56" t="str">
        <f t="array" ref="K13">IFERROR(IF($K$2 &lt;&gt; "", INDEX('SA PRE-APPROVAL FSMC CHECKLIST'!$B$6:$B$45,  SMALL( IF( 'SA PRE-APPROVAL FSMC CHECKLIST'!$D$6:$H$45 = $K$2, ROW('SA PRE-APPROVAL FSMC CHECKLIST'!$B$6:$B$45)-ROW('SA PRE-APPROVAL FSMC CHECKLIST'!$B$6)+1 ),  ROWS('SA PRE-APPROVAL FSMC CHECKLIST'!$B$6:$B15)) ),""), "")</f>
        <v/>
      </c>
      <c r="L13" s="56" t="str">
        <f>IFERROR(VLOOKUP(K13,'SA PRE-APPROVAL FSMC CHECKLIST'!$B:$H,9,0),"")</f>
        <v/>
      </c>
      <c r="M13" s="63"/>
      <c r="N13" s="63"/>
      <c r="O13" s="64"/>
      <c r="P13" s="56" t="str">
        <f t="array" ref="P13">IFERROR(IF($P$2 &lt;&gt; "", INDEX('SA PRE-APPROVAL FSMC CHECKLIST'!$B$6:$B$45,  SMALL( IF( 'SA PRE-APPROVAL FSMC CHECKLIST'!$D$6:$H$45 = $P$2, ROW('SA PRE-APPROVAL FSMC CHECKLIST'!$B$6:$B$45)-ROW('SA PRE-APPROVAL FSMC CHECKLIST'!$B$6)+1 ),  ROWS('SA PRE-APPROVAL FSMC CHECKLIST'!$B$6:$B15)) ),""), "")</f>
        <v/>
      </c>
      <c r="Q13" s="56" t="str">
        <f>IFERROR(VLOOKUP(P13,'SA PRE-APPROVAL FSMC CHECKLIST'!$B:$H,9,0),"")</f>
        <v/>
      </c>
      <c r="R13" s="63"/>
      <c r="S13" s="63"/>
      <c r="T13" s="64"/>
      <c r="U13" s="56" t="str">
        <f t="array" ref="U13">IFERROR(IF($U$2 &lt;&gt; "", INDEX('SA PRE-APPROVAL FSMC CHECKLIST'!$B$6:$B$45,  SMALL( IF( 'SA PRE-APPROVAL FSMC CHECKLIST'!$D$6:$H$45 = $U$2, ROW('SA PRE-APPROVAL FSMC CHECKLIST'!$B$6:$B$45)-ROW('SA PRE-APPROVAL FSMC CHECKLIST'!$B$6)+1 ),  ROWS('SA PRE-APPROVAL FSMC CHECKLIST'!$B$6:$B15)) ),""), "")</f>
        <v/>
      </c>
      <c r="V13" s="56" t="str">
        <f>IFERROR(VLOOKUP(U13,'SA PRE-APPROVAL FSMC CHECKLIST'!$B:$H,9,0),"")</f>
        <v/>
      </c>
      <c r="W13" s="63"/>
      <c r="X13" s="63"/>
      <c r="Y13" s="64"/>
      <c r="Z13" s="56" t="str">
        <f t="array" ref="Z13">IFERROR(IF($Z$2 &lt;&gt; "", INDEX('SA PRE-APPROVAL FSMC CHECKLIST'!$B$6:$B$45,  SMALL( IF( 'SA PRE-APPROVAL FSMC CHECKLIST'!$D$6:$H$45 = $Z$2, ROW('SA PRE-APPROVAL FSMC CHECKLIST'!$B$6:$B$45)-ROW('SA PRE-APPROVAL FSMC CHECKLIST'!$B$6)+1 ),  ROWS('SA PRE-APPROVAL FSMC CHECKLIST'!$B$6:$B15)) ),""), "")</f>
        <v/>
      </c>
      <c r="AA13" s="56" t="str">
        <f>IFERROR(VLOOKUP(Z13,'SA PRE-APPROVAL FSMC CHECKLIST'!$B:$H,9,0),"")</f>
        <v/>
      </c>
      <c r="AB13" s="63"/>
      <c r="AC13" s="63"/>
      <c r="AD13" s="64"/>
      <c r="AE13" s="65"/>
      <c r="AF13" s="65"/>
      <c r="AG13" s="65"/>
      <c r="AH13" s="65"/>
      <c r="AI13" s="65"/>
      <c r="AJ13" s="65"/>
      <c r="AK13" s="65"/>
      <c r="AL13" s="65"/>
    </row>
    <row r="14" spans="1:38" s="66" customFormat="1" ht="47.25" x14ac:dyDescent="0.25">
      <c r="A14" s="56" t="str">
        <f t="array" ref="A14">IFERROR(IF($A$2 &lt;&gt; "", INDEX('SA PRE-APPROVAL FSMC CHECKLIST'!$B$6:$B$45,  SMALL( IF( 'SA PRE-APPROVAL FSMC CHECKLIST'!$D$6:$H$45 = $A$2, ROW('SA PRE-APPROVAL FSMC CHECKLIST'!$B$6:$B$45)-ROW('SA PRE-APPROVAL FSMC CHECKLIST'!$B$6)+1 ),  ROWS('SA PRE-APPROVAL FSMC CHECKLIST'!$B$6:$B16)) ),""), "")</f>
        <v xml:space="preserve"> 2) Is the SFA solicitation/contract compliant by identifing that the SFA would:  [7 CFR Part 210.16(a)]</v>
      </c>
      <c r="B14" s="56" t="str">
        <f>IFERROR(VLOOKUP(A14,'SA PRE-APPROVAL FSMC CHECKLIST'!$B:$H,9,0),"")</f>
        <v/>
      </c>
      <c r="C14" s="63"/>
      <c r="D14" s="63"/>
      <c r="E14" s="64"/>
      <c r="F14" s="56" t="str">
        <f t="array" ref="F14">IFERROR(IF($F$2 &lt;&gt; "", INDEX('SA PRE-APPROVAL FSMC CHECKLIST'!$B$6:$B$45,  SMALL( IF( 'SA PRE-APPROVAL FSMC CHECKLIST'!$D$6:$H$45 = $F$2, ROW('SA PRE-APPROVAL FSMC CHECKLIST'!$B$6:$B$45)-ROW('SA PRE-APPROVAL FSMC CHECKLIST'!$B$6)+1 ),  ROWS('SA PRE-APPROVAL FSMC CHECKLIST'!$B$6:$B16)) ),""), "")</f>
        <v/>
      </c>
      <c r="G14" s="56" t="str">
        <f>IFERROR(VLOOKUP(F14,'SA PRE-APPROVAL FSMC CHECKLIST'!$B:$H,9,0),"")</f>
        <v/>
      </c>
      <c r="H14" s="63"/>
      <c r="I14" s="63"/>
      <c r="J14" s="64"/>
      <c r="K14" s="56" t="str">
        <f t="array" ref="K14">IFERROR(IF($K$2 &lt;&gt; "", INDEX('SA PRE-APPROVAL FSMC CHECKLIST'!$B$6:$B$45,  SMALL( IF( 'SA PRE-APPROVAL FSMC CHECKLIST'!$D$6:$H$45 = $K$2, ROW('SA PRE-APPROVAL FSMC CHECKLIST'!$B$6:$B$45)-ROW('SA PRE-APPROVAL FSMC CHECKLIST'!$B$6)+1 ),  ROWS('SA PRE-APPROVAL FSMC CHECKLIST'!$B$6:$B16)) ),""), "")</f>
        <v/>
      </c>
      <c r="L14" s="56" t="str">
        <f>IFERROR(VLOOKUP(K14,'SA PRE-APPROVAL FSMC CHECKLIST'!$B:$H,9,0),"")</f>
        <v/>
      </c>
      <c r="M14" s="63"/>
      <c r="N14" s="63"/>
      <c r="O14" s="64"/>
      <c r="P14" s="56" t="str">
        <f t="array" ref="P14">IFERROR(IF($P$2 &lt;&gt; "", INDEX('SA PRE-APPROVAL FSMC CHECKLIST'!$B$6:$B$45,  SMALL( IF( 'SA PRE-APPROVAL FSMC CHECKLIST'!$D$6:$H$45 = $P$2, ROW('SA PRE-APPROVAL FSMC CHECKLIST'!$B$6:$B$45)-ROW('SA PRE-APPROVAL FSMC CHECKLIST'!$B$6)+1 ),  ROWS('SA PRE-APPROVAL FSMC CHECKLIST'!$B$6:$B16)) ),""), "")</f>
        <v/>
      </c>
      <c r="Q14" s="56" t="str">
        <f>IFERROR(VLOOKUP(P14,'SA PRE-APPROVAL FSMC CHECKLIST'!$B:$H,9,0),"")</f>
        <v/>
      </c>
      <c r="R14" s="63"/>
      <c r="S14" s="63"/>
      <c r="T14" s="64"/>
      <c r="U14" s="56" t="str">
        <f t="array" ref="U14">IFERROR(IF($U$2 &lt;&gt; "", INDEX('SA PRE-APPROVAL FSMC CHECKLIST'!$B$6:$B$45,  SMALL( IF( 'SA PRE-APPROVAL FSMC CHECKLIST'!$D$6:$H$45 = $U$2, ROW('SA PRE-APPROVAL FSMC CHECKLIST'!$B$6:$B$45)-ROW('SA PRE-APPROVAL FSMC CHECKLIST'!$B$6)+1 ),  ROWS('SA PRE-APPROVAL FSMC CHECKLIST'!$B$6:$B16)) ),""), "")</f>
        <v/>
      </c>
      <c r="V14" s="56" t="str">
        <f>IFERROR(VLOOKUP(U14,'SA PRE-APPROVAL FSMC CHECKLIST'!$B:$H,9,0),"")</f>
        <v/>
      </c>
      <c r="W14" s="63"/>
      <c r="X14" s="63"/>
      <c r="Y14" s="64"/>
      <c r="Z14" s="56" t="str">
        <f t="array" ref="Z14">IFERROR(IF($Z$2 &lt;&gt; "", INDEX('SA PRE-APPROVAL FSMC CHECKLIST'!$B$6:$B$45,  SMALL( IF( 'SA PRE-APPROVAL FSMC CHECKLIST'!$D$6:$H$45 = $Z$2, ROW('SA PRE-APPROVAL FSMC CHECKLIST'!$B$6:$B$45)-ROW('SA PRE-APPROVAL FSMC CHECKLIST'!$B$6)+1 ),  ROWS('SA PRE-APPROVAL FSMC CHECKLIST'!$B$6:$B16)) ),""), "")</f>
        <v/>
      </c>
      <c r="AA14" s="56" t="str">
        <f>IFERROR(VLOOKUP(Z14,'SA PRE-APPROVAL FSMC CHECKLIST'!$B:$H,9,0),"")</f>
        <v/>
      </c>
      <c r="AB14" s="63"/>
      <c r="AC14" s="63"/>
      <c r="AD14" s="64"/>
      <c r="AE14" s="65"/>
      <c r="AF14" s="65"/>
      <c r="AG14" s="65"/>
      <c r="AH14" s="65"/>
      <c r="AI14" s="65"/>
      <c r="AJ14" s="65"/>
      <c r="AK14" s="65"/>
      <c r="AL14" s="65"/>
    </row>
    <row r="15" spans="1:38" s="66" customFormat="1" ht="47.25" x14ac:dyDescent="0.25">
      <c r="A15" s="56" t="str">
        <f t="array" ref="A15">IFERROR(IF($A$2 &lt;&gt; "", INDEX('SA PRE-APPROVAL FSMC CHECKLIST'!$B$6:$B$45,  SMALL( IF( 'SA PRE-APPROVAL FSMC CHECKLIST'!$D$6:$H$45 = $A$2, ROW('SA PRE-APPROVAL FSMC CHECKLIST'!$B$6:$B$45)-ROW('SA PRE-APPROVAL FSMC CHECKLIST'!$B$6)+1 ),  ROWS('SA PRE-APPROVAL FSMC CHECKLIST'!$B$6:$B17)) ),""), "")</f>
        <v xml:space="preserve"> 2) Is the SFA solicitation/contract compliant by identifing that the SFA would:  [7 CFR Part 210.16(a)]</v>
      </c>
      <c r="B15" s="56" t="str">
        <f>IFERROR(VLOOKUP(A15,'SA PRE-APPROVAL FSMC CHECKLIST'!$B:$H,9,0),"")</f>
        <v/>
      </c>
      <c r="C15" s="63"/>
      <c r="D15" s="63"/>
      <c r="E15" s="64"/>
      <c r="F15" s="56" t="str">
        <f t="array" ref="F15">IFERROR(IF($F$2 &lt;&gt; "", INDEX('SA PRE-APPROVAL FSMC CHECKLIST'!$B$6:$B$45,  SMALL( IF( 'SA PRE-APPROVAL FSMC CHECKLIST'!$D$6:$H$45 = $F$2, ROW('SA PRE-APPROVAL FSMC CHECKLIST'!$B$6:$B$45)-ROW('SA PRE-APPROVAL FSMC CHECKLIST'!$B$6)+1 ),  ROWS('SA PRE-APPROVAL FSMC CHECKLIST'!$B$6:$B17)) ),""), "")</f>
        <v/>
      </c>
      <c r="G15" s="56" t="str">
        <f>IFERROR(VLOOKUP(F15,'SA PRE-APPROVAL FSMC CHECKLIST'!$B:$H,9,0),"")</f>
        <v/>
      </c>
      <c r="H15" s="63"/>
      <c r="I15" s="63"/>
      <c r="J15" s="64"/>
      <c r="K15" s="56" t="str">
        <f t="array" ref="K15">IFERROR(IF($K$2 &lt;&gt; "", INDEX('SA PRE-APPROVAL FSMC CHECKLIST'!$B$6:$B$45,  SMALL( IF( 'SA PRE-APPROVAL FSMC CHECKLIST'!$D$6:$H$45 = $K$2, ROW('SA PRE-APPROVAL FSMC CHECKLIST'!$B$6:$B$45)-ROW('SA PRE-APPROVAL FSMC CHECKLIST'!$B$6)+1 ),  ROWS('SA PRE-APPROVAL FSMC CHECKLIST'!$B$6:$B17)) ),""), "")</f>
        <v/>
      </c>
      <c r="L15" s="56" t="str">
        <f>IFERROR(VLOOKUP(K15,'SA PRE-APPROVAL FSMC CHECKLIST'!$B:$H,9,0),"")</f>
        <v/>
      </c>
      <c r="M15" s="63"/>
      <c r="N15" s="63"/>
      <c r="O15" s="64"/>
      <c r="P15" s="56" t="str">
        <f t="array" ref="P15">IFERROR(IF($P$2 &lt;&gt; "", INDEX('SA PRE-APPROVAL FSMC CHECKLIST'!$B$6:$B$45,  SMALL( IF( 'SA PRE-APPROVAL FSMC CHECKLIST'!$D$6:$H$45 = $P$2, ROW('SA PRE-APPROVAL FSMC CHECKLIST'!$B$6:$B$45)-ROW('SA PRE-APPROVAL FSMC CHECKLIST'!$B$6)+1 ),  ROWS('SA PRE-APPROVAL FSMC CHECKLIST'!$B$6:$B17)) ),""), "")</f>
        <v/>
      </c>
      <c r="Q15" s="56" t="str">
        <f>IFERROR(VLOOKUP(P15,'SA PRE-APPROVAL FSMC CHECKLIST'!$B:$H,9,0),"")</f>
        <v/>
      </c>
      <c r="R15" s="63"/>
      <c r="S15" s="63"/>
      <c r="T15" s="64"/>
      <c r="U15" s="56" t="str">
        <f t="array" ref="U15">IFERROR(IF($U$2 &lt;&gt; "", INDEX('SA PRE-APPROVAL FSMC CHECKLIST'!$B$6:$B$45,  SMALL( IF( 'SA PRE-APPROVAL FSMC CHECKLIST'!$D$6:$H$45 = $U$2, ROW('SA PRE-APPROVAL FSMC CHECKLIST'!$B$6:$B$45)-ROW('SA PRE-APPROVAL FSMC CHECKLIST'!$B$6)+1 ),  ROWS('SA PRE-APPROVAL FSMC CHECKLIST'!$B$6:$B17)) ),""), "")</f>
        <v/>
      </c>
      <c r="V15" s="56" t="str">
        <f>IFERROR(VLOOKUP(U15,'SA PRE-APPROVAL FSMC CHECKLIST'!$B:$H,9,0),"")</f>
        <v/>
      </c>
      <c r="W15" s="63"/>
      <c r="X15" s="63"/>
      <c r="Y15" s="64"/>
      <c r="Z15" s="56" t="str">
        <f t="array" ref="Z15">IFERROR(IF($Z$2 &lt;&gt; "", INDEX('SA PRE-APPROVAL FSMC CHECKLIST'!$B$6:$B$45,  SMALL( IF( 'SA PRE-APPROVAL FSMC CHECKLIST'!$D$6:$H$45 = $Z$2, ROW('SA PRE-APPROVAL FSMC CHECKLIST'!$B$6:$B$45)-ROW('SA PRE-APPROVAL FSMC CHECKLIST'!$B$6)+1 ),  ROWS('SA PRE-APPROVAL FSMC CHECKLIST'!$B$6:$B17)) ),""), "")</f>
        <v/>
      </c>
      <c r="AA15" s="56" t="str">
        <f>IFERROR(VLOOKUP(Z15,'SA PRE-APPROVAL FSMC CHECKLIST'!$B:$H,9,0),"")</f>
        <v/>
      </c>
      <c r="AB15" s="63"/>
      <c r="AC15" s="63"/>
      <c r="AD15" s="64"/>
      <c r="AE15" s="65"/>
      <c r="AF15" s="65"/>
      <c r="AG15" s="65"/>
      <c r="AH15" s="65"/>
      <c r="AI15" s="65"/>
      <c r="AJ15" s="65"/>
      <c r="AK15" s="65"/>
      <c r="AL15" s="65"/>
    </row>
    <row r="16" spans="1:38" s="66" customFormat="1" ht="47.25" x14ac:dyDescent="0.25">
      <c r="A16" s="56" t="str">
        <f t="array" ref="A16">IFERROR(IF($A$2 &lt;&gt; "", INDEX('SA PRE-APPROVAL FSMC CHECKLIST'!$B$6:$B$45,  SMALL( IF( 'SA PRE-APPROVAL FSMC CHECKLIST'!$D$6:$H$45 = $A$2, ROW('SA PRE-APPROVAL FSMC CHECKLIST'!$B$6:$B$45)-ROW('SA PRE-APPROVAL FSMC CHECKLIST'!$B$6)+1 ),  ROWS('SA PRE-APPROVAL FSMC CHECKLIST'!$B$6:$B18)) ),""), "")</f>
        <v xml:space="preserve"> 2) Is the SFA solicitation/contract compliant by identifing that the SFA would:  [7 CFR Part 210.16(a)]</v>
      </c>
      <c r="B16" s="56" t="str">
        <f>IFERROR(VLOOKUP(A16,'SA PRE-APPROVAL FSMC CHECKLIST'!$B:$H,9,0),"")</f>
        <v/>
      </c>
      <c r="C16" s="63"/>
      <c r="D16" s="63"/>
      <c r="E16" s="64"/>
      <c r="F16" s="56" t="str">
        <f t="array" ref="F16">IFERROR(IF($F$2 &lt;&gt; "", INDEX('SA PRE-APPROVAL FSMC CHECKLIST'!$B$6:$B$45,  SMALL( IF( 'SA PRE-APPROVAL FSMC CHECKLIST'!$D$6:$H$45 = $F$2, ROW('SA PRE-APPROVAL FSMC CHECKLIST'!$B$6:$B$45)-ROW('SA PRE-APPROVAL FSMC CHECKLIST'!$B$6)+1 ),  ROWS('SA PRE-APPROVAL FSMC CHECKLIST'!$B$6:$B18)) ),""), "")</f>
        <v/>
      </c>
      <c r="G16" s="56" t="str">
        <f>IFERROR(VLOOKUP(F16,'SA PRE-APPROVAL FSMC CHECKLIST'!$B:$H,9,0),"")</f>
        <v/>
      </c>
      <c r="H16" s="63"/>
      <c r="I16" s="63"/>
      <c r="J16" s="64"/>
      <c r="K16" s="56" t="str">
        <f t="array" ref="K16">IFERROR(IF($K$2 &lt;&gt; "", INDEX('SA PRE-APPROVAL FSMC CHECKLIST'!$B$6:$B$45,  SMALL( IF( 'SA PRE-APPROVAL FSMC CHECKLIST'!$D$6:$H$45 = $K$2, ROW('SA PRE-APPROVAL FSMC CHECKLIST'!$B$6:$B$45)-ROW('SA PRE-APPROVAL FSMC CHECKLIST'!$B$6)+1 ),  ROWS('SA PRE-APPROVAL FSMC CHECKLIST'!$B$6:$B18)) ),""), "")</f>
        <v/>
      </c>
      <c r="L16" s="56" t="str">
        <f>IFERROR(VLOOKUP(K16,'SA PRE-APPROVAL FSMC CHECKLIST'!$B:$H,9,0),"")</f>
        <v/>
      </c>
      <c r="M16" s="63"/>
      <c r="N16" s="63"/>
      <c r="O16" s="64"/>
      <c r="P16" s="56" t="str">
        <f t="array" ref="P16">IFERROR(IF($P$2 &lt;&gt; "", INDEX('SA PRE-APPROVAL FSMC CHECKLIST'!$B$6:$B$45,  SMALL( IF( 'SA PRE-APPROVAL FSMC CHECKLIST'!$D$6:$H$45 = $P$2, ROW('SA PRE-APPROVAL FSMC CHECKLIST'!$B$6:$B$45)-ROW('SA PRE-APPROVAL FSMC CHECKLIST'!$B$6)+1 ),  ROWS('SA PRE-APPROVAL FSMC CHECKLIST'!$B$6:$B18)) ),""), "")</f>
        <v/>
      </c>
      <c r="Q16" s="56" t="str">
        <f>IFERROR(VLOOKUP(P16,'SA PRE-APPROVAL FSMC CHECKLIST'!$B:$H,9,0),"")</f>
        <v/>
      </c>
      <c r="R16" s="63"/>
      <c r="S16" s="63"/>
      <c r="T16" s="64"/>
      <c r="U16" s="56" t="str">
        <f t="array" ref="U16">IFERROR(IF($U$2 &lt;&gt; "", INDEX('SA PRE-APPROVAL FSMC CHECKLIST'!$B$6:$B$45,  SMALL( IF( 'SA PRE-APPROVAL FSMC CHECKLIST'!$D$6:$H$45 = $U$2, ROW('SA PRE-APPROVAL FSMC CHECKLIST'!$B$6:$B$45)-ROW('SA PRE-APPROVAL FSMC CHECKLIST'!$B$6)+1 ),  ROWS('SA PRE-APPROVAL FSMC CHECKLIST'!$B$6:$B18)) ),""), "")</f>
        <v/>
      </c>
      <c r="V16" s="56" t="str">
        <f>IFERROR(VLOOKUP(U16,'SA PRE-APPROVAL FSMC CHECKLIST'!$B:$H,9,0),"")</f>
        <v/>
      </c>
      <c r="W16" s="63"/>
      <c r="X16" s="63"/>
      <c r="Y16" s="64"/>
      <c r="Z16" s="56" t="str">
        <f t="array" ref="Z16">IFERROR(IF($Z$2 &lt;&gt; "", INDEX('SA PRE-APPROVAL FSMC CHECKLIST'!$B$6:$B$45,  SMALL( IF( 'SA PRE-APPROVAL FSMC CHECKLIST'!$D$6:$H$45 = $Z$2, ROW('SA PRE-APPROVAL FSMC CHECKLIST'!$B$6:$B$45)-ROW('SA PRE-APPROVAL FSMC CHECKLIST'!$B$6)+1 ),  ROWS('SA PRE-APPROVAL FSMC CHECKLIST'!$B$6:$B18)) ),""), "")</f>
        <v/>
      </c>
      <c r="AA16" s="56" t="str">
        <f>IFERROR(VLOOKUP(Z16,'SA PRE-APPROVAL FSMC CHECKLIST'!$B:$H,9,0),"")</f>
        <v/>
      </c>
      <c r="AB16" s="63"/>
      <c r="AC16" s="63"/>
      <c r="AD16" s="64"/>
      <c r="AE16" s="65"/>
      <c r="AF16" s="65"/>
      <c r="AG16" s="65"/>
      <c r="AH16" s="65"/>
      <c r="AI16" s="65"/>
      <c r="AJ16" s="65"/>
      <c r="AK16" s="65"/>
      <c r="AL16" s="65"/>
    </row>
    <row r="17" spans="1:38" s="66" customFormat="1" ht="63" x14ac:dyDescent="0.25">
      <c r="A17" s="56" t="str">
        <f t="array" ref="A17">IFERROR(IF($A$2 &lt;&gt; "", INDEX('SA PRE-APPROVAL FSMC CHECKLIST'!$B$6:$B$45,  SMALL( IF( 'SA PRE-APPROVAL FSMC CHECKLIST'!$D$6:$H$45 = $A$2, ROW('SA PRE-APPROVAL FSMC CHECKLIST'!$B$6:$B$45)-ROW('SA PRE-APPROVAL FSMC CHECKLIST'!$B$6)+1 ),  ROWS('SA PRE-APPROVAL FSMC CHECKLIST'!$B$6:$B19)) ),""), "")</f>
        <v xml:space="preserve">   a) Ensure that the food service operation was in conformance with the SFA-State agency agreement under the Program?  [7 CFR 210.16(a)(2)]</v>
      </c>
      <c r="B17" s="56" t="str">
        <f>IFERROR(VLOOKUP(A17,'SA PRE-APPROVAL FSMC CHECKLIST'!$B:$H,9,0),"")</f>
        <v/>
      </c>
      <c r="C17" s="63"/>
      <c r="D17" s="63"/>
      <c r="E17" s="64"/>
      <c r="F17" s="56" t="str">
        <f t="array" ref="F17">IFERROR(IF($F$2 &lt;&gt; "", INDEX('SA PRE-APPROVAL FSMC CHECKLIST'!$B$6:$B$45,  SMALL( IF( 'SA PRE-APPROVAL FSMC CHECKLIST'!$D$6:$H$45 = $F$2, ROW('SA PRE-APPROVAL FSMC CHECKLIST'!$B$6:$B$45)-ROW('SA PRE-APPROVAL FSMC CHECKLIST'!$B$6)+1 ),  ROWS('SA PRE-APPROVAL FSMC CHECKLIST'!$B$6:$B19)) ),""), "")</f>
        <v/>
      </c>
      <c r="G17" s="56" t="str">
        <f>IFERROR(VLOOKUP(F17,'SA PRE-APPROVAL FSMC CHECKLIST'!$B:$H,9,0),"")</f>
        <v/>
      </c>
      <c r="H17" s="63"/>
      <c r="I17" s="63"/>
      <c r="J17" s="64"/>
      <c r="K17" s="56" t="str">
        <f t="array" ref="K17">IFERROR(IF($K$2 &lt;&gt; "", INDEX('SA PRE-APPROVAL FSMC CHECKLIST'!$B$6:$B$45,  SMALL( IF( 'SA PRE-APPROVAL FSMC CHECKLIST'!$D$6:$H$45 = $K$2, ROW('SA PRE-APPROVAL FSMC CHECKLIST'!$B$6:$B$45)-ROW('SA PRE-APPROVAL FSMC CHECKLIST'!$B$6)+1 ),  ROWS('SA PRE-APPROVAL FSMC CHECKLIST'!$B$6:$B19)) ),""), "")</f>
        <v/>
      </c>
      <c r="L17" s="56" t="str">
        <f>IFERROR(VLOOKUP(K17,'SA PRE-APPROVAL FSMC CHECKLIST'!$B:$H,9,0),"")</f>
        <v/>
      </c>
      <c r="M17" s="63"/>
      <c r="N17" s="63"/>
      <c r="O17" s="64"/>
      <c r="P17" s="56" t="str">
        <f t="array" ref="P17">IFERROR(IF($P$2 &lt;&gt; "", INDEX('SA PRE-APPROVAL FSMC CHECKLIST'!$B$6:$B$45,  SMALL( IF( 'SA PRE-APPROVAL FSMC CHECKLIST'!$D$6:$H$45 = $P$2, ROW('SA PRE-APPROVAL FSMC CHECKLIST'!$B$6:$B$45)-ROW('SA PRE-APPROVAL FSMC CHECKLIST'!$B$6)+1 ),  ROWS('SA PRE-APPROVAL FSMC CHECKLIST'!$B$6:$B19)) ),""), "")</f>
        <v/>
      </c>
      <c r="Q17" s="56" t="str">
        <f>IFERROR(VLOOKUP(P17,'SA PRE-APPROVAL FSMC CHECKLIST'!$B:$H,9,0),"")</f>
        <v/>
      </c>
      <c r="R17" s="63"/>
      <c r="S17" s="63"/>
      <c r="T17" s="64"/>
      <c r="U17" s="56" t="str">
        <f t="array" ref="U17">IFERROR(IF($U$2 &lt;&gt; "", INDEX('SA PRE-APPROVAL FSMC CHECKLIST'!$B$6:$B$45,  SMALL( IF( 'SA PRE-APPROVAL FSMC CHECKLIST'!$D$6:$H$45 = $U$2, ROW('SA PRE-APPROVAL FSMC CHECKLIST'!$B$6:$B$45)-ROW('SA PRE-APPROVAL FSMC CHECKLIST'!$B$6)+1 ),  ROWS('SA PRE-APPROVAL FSMC CHECKLIST'!$B$6:$B19)) ),""), "")</f>
        <v/>
      </c>
      <c r="V17" s="56" t="str">
        <f>IFERROR(VLOOKUP(U17,'SA PRE-APPROVAL FSMC CHECKLIST'!$B:$H,9,0),"")</f>
        <v/>
      </c>
      <c r="W17" s="63"/>
      <c r="X17" s="63"/>
      <c r="Y17" s="64"/>
      <c r="Z17" s="56" t="str">
        <f t="array" ref="Z17">IFERROR(IF($Z$2 &lt;&gt; "", INDEX('SA PRE-APPROVAL FSMC CHECKLIST'!$B$6:$B$45,  SMALL( IF( 'SA PRE-APPROVAL FSMC CHECKLIST'!$D$6:$H$45 = $Z$2, ROW('SA PRE-APPROVAL FSMC CHECKLIST'!$B$6:$B$45)-ROW('SA PRE-APPROVAL FSMC CHECKLIST'!$B$6)+1 ),  ROWS('SA PRE-APPROVAL FSMC CHECKLIST'!$B$6:$B19)) ),""), "")</f>
        <v/>
      </c>
      <c r="AA17" s="56" t="str">
        <f>IFERROR(VLOOKUP(Z17,'SA PRE-APPROVAL FSMC CHECKLIST'!$B:$H,9,0),"")</f>
        <v/>
      </c>
      <c r="AB17" s="63"/>
      <c r="AC17" s="63"/>
      <c r="AD17" s="64"/>
      <c r="AE17" s="65"/>
      <c r="AF17" s="65"/>
      <c r="AG17" s="65"/>
      <c r="AH17" s="65"/>
      <c r="AI17" s="65"/>
      <c r="AJ17" s="65"/>
      <c r="AK17" s="65"/>
      <c r="AL17" s="65"/>
    </row>
    <row r="18" spans="1:38" s="66" customFormat="1" ht="63" x14ac:dyDescent="0.25">
      <c r="A18" s="56" t="str">
        <f t="array" ref="A18">IFERROR(IF($A$2 &lt;&gt; "", INDEX('SA PRE-APPROVAL FSMC CHECKLIST'!$B$6:$B$45,  SMALL( IF( 'SA PRE-APPROVAL FSMC CHECKLIST'!$D$6:$H$45 = $A$2, ROW('SA PRE-APPROVAL FSMC CHECKLIST'!$B$6:$B$45)-ROW('SA PRE-APPROVAL FSMC CHECKLIST'!$B$6)+1 ),  ROWS('SA PRE-APPROVAL FSMC CHECKLIST'!$B$6:$B20)) ),""), "")</f>
        <v xml:space="preserve">   a) Ensure that the food service operation was in conformance with the SFA-State agency agreement under the Program?  [7 CFR 210.16(a)(2)]</v>
      </c>
      <c r="B18" s="56" t="str">
        <f>IFERROR(VLOOKUP(A18,'SA PRE-APPROVAL FSMC CHECKLIST'!$B:$H,9,0),"")</f>
        <v/>
      </c>
      <c r="C18" s="63"/>
      <c r="D18" s="63"/>
      <c r="E18" s="64"/>
      <c r="F18" s="56" t="str">
        <f t="array" ref="F18">IFERROR(IF($F$2 &lt;&gt; "", INDEX('SA PRE-APPROVAL FSMC CHECKLIST'!$B$6:$B$45,  SMALL( IF( 'SA PRE-APPROVAL FSMC CHECKLIST'!$D$6:$H$45 = $F$2, ROW('SA PRE-APPROVAL FSMC CHECKLIST'!$B$6:$B$45)-ROW('SA PRE-APPROVAL FSMC CHECKLIST'!$B$6)+1 ),  ROWS('SA PRE-APPROVAL FSMC CHECKLIST'!$B$6:$B20)) ),""), "")</f>
        <v/>
      </c>
      <c r="G18" s="56" t="str">
        <f>IFERROR(VLOOKUP(F18,'SA PRE-APPROVAL FSMC CHECKLIST'!$B:$H,9,0),"")</f>
        <v/>
      </c>
      <c r="H18" s="63"/>
      <c r="I18" s="63"/>
      <c r="J18" s="64"/>
      <c r="K18" s="56" t="str">
        <f t="array" ref="K18">IFERROR(IF($K$2 &lt;&gt; "", INDEX('SA PRE-APPROVAL FSMC CHECKLIST'!$B$6:$B$45,  SMALL( IF( 'SA PRE-APPROVAL FSMC CHECKLIST'!$D$6:$H$45 = $K$2, ROW('SA PRE-APPROVAL FSMC CHECKLIST'!$B$6:$B$45)-ROW('SA PRE-APPROVAL FSMC CHECKLIST'!$B$6)+1 ),  ROWS('SA PRE-APPROVAL FSMC CHECKLIST'!$B$6:$B20)) ),""), "")</f>
        <v/>
      </c>
      <c r="L18" s="56" t="str">
        <f>IFERROR(VLOOKUP(K18,'SA PRE-APPROVAL FSMC CHECKLIST'!$B:$H,9,0),"")</f>
        <v/>
      </c>
      <c r="M18" s="63"/>
      <c r="N18" s="63"/>
      <c r="O18" s="64"/>
      <c r="P18" s="56" t="str">
        <f t="array" ref="P18">IFERROR(IF($P$2 &lt;&gt; "", INDEX('SA PRE-APPROVAL FSMC CHECKLIST'!$B$6:$B$45,  SMALL( IF( 'SA PRE-APPROVAL FSMC CHECKLIST'!$D$6:$H$45 = $P$2, ROW('SA PRE-APPROVAL FSMC CHECKLIST'!$B$6:$B$45)-ROW('SA PRE-APPROVAL FSMC CHECKLIST'!$B$6)+1 ),  ROWS('SA PRE-APPROVAL FSMC CHECKLIST'!$B$6:$B20)) ),""), "")</f>
        <v/>
      </c>
      <c r="Q18" s="56" t="str">
        <f>IFERROR(VLOOKUP(P18,'SA PRE-APPROVAL FSMC CHECKLIST'!$B:$H,9,0),"")</f>
        <v/>
      </c>
      <c r="R18" s="63"/>
      <c r="S18" s="63"/>
      <c r="T18" s="64"/>
      <c r="U18" s="56" t="str">
        <f t="array" ref="U18">IFERROR(IF($U$2 &lt;&gt; "", INDEX('SA PRE-APPROVAL FSMC CHECKLIST'!$B$6:$B$45,  SMALL( IF( 'SA PRE-APPROVAL FSMC CHECKLIST'!$D$6:$H$45 = $U$2, ROW('SA PRE-APPROVAL FSMC CHECKLIST'!$B$6:$B$45)-ROW('SA PRE-APPROVAL FSMC CHECKLIST'!$B$6)+1 ),  ROWS('SA PRE-APPROVAL FSMC CHECKLIST'!$B$6:$B20)) ),""), "")</f>
        <v/>
      </c>
      <c r="V18" s="56" t="str">
        <f>IFERROR(VLOOKUP(U18,'SA PRE-APPROVAL FSMC CHECKLIST'!$B:$H,9,0),"")</f>
        <v/>
      </c>
      <c r="W18" s="63"/>
      <c r="X18" s="63"/>
      <c r="Y18" s="64"/>
      <c r="Z18" s="56" t="str">
        <f t="array" ref="Z18">IFERROR(IF($Z$2 &lt;&gt; "", INDEX('SA PRE-APPROVAL FSMC CHECKLIST'!$B$6:$B$45,  SMALL( IF( 'SA PRE-APPROVAL FSMC CHECKLIST'!$D$6:$H$45 = $Z$2, ROW('SA PRE-APPROVAL FSMC CHECKLIST'!$B$6:$B$45)-ROW('SA PRE-APPROVAL FSMC CHECKLIST'!$B$6)+1 ),  ROWS('SA PRE-APPROVAL FSMC CHECKLIST'!$B$6:$B20)) ),""), "")</f>
        <v/>
      </c>
      <c r="AA18" s="56" t="str">
        <f>IFERROR(VLOOKUP(Z18,'SA PRE-APPROVAL FSMC CHECKLIST'!$B:$H,9,0),"")</f>
        <v/>
      </c>
      <c r="AB18" s="63"/>
      <c r="AC18" s="63"/>
      <c r="AD18" s="64"/>
      <c r="AE18" s="65"/>
      <c r="AF18" s="65"/>
      <c r="AG18" s="65"/>
      <c r="AH18" s="65"/>
      <c r="AI18" s="65"/>
      <c r="AJ18" s="65"/>
      <c r="AK18" s="65"/>
      <c r="AL18" s="65"/>
    </row>
    <row r="19" spans="1:38" s="66" customFormat="1" ht="63" x14ac:dyDescent="0.25">
      <c r="A19" s="56" t="str">
        <f t="array" ref="A19">IFERROR(IF($A$2 &lt;&gt; "", INDEX('SA PRE-APPROVAL FSMC CHECKLIST'!$B$6:$B$45,  SMALL( IF( 'SA PRE-APPROVAL FSMC CHECKLIST'!$D$6:$H$45 = $A$2, ROW('SA PRE-APPROVAL FSMC CHECKLIST'!$B$6:$B$45)-ROW('SA PRE-APPROVAL FSMC CHECKLIST'!$B$6)+1 ),  ROWS('SA PRE-APPROVAL FSMC CHECKLIST'!$B$6:$B21)) ),""), "")</f>
        <v xml:space="preserve">   a) Ensure that the food service operation was in conformance with the SFA-State agency agreement under the Program?  [7 CFR 210.16(a)(2)]</v>
      </c>
      <c r="B19" s="56" t="str">
        <f>IFERROR(VLOOKUP(A19,'SA PRE-APPROVAL FSMC CHECKLIST'!$B:$H,9,0),"")</f>
        <v/>
      </c>
      <c r="C19" s="63"/>
      <c r="D19" s="63"/>
      <c r="E19" s="64"/>
      <c r="F19" s="56" t="str">
        <f t="array" ref="F19">IFERROR(IF($F$2 &lt;&gt; "", INDEX('SA PRE-APPROVAL FSMC CHECKLIST'!$B$6:$B$45,  SMALL( IF( 'SA PRE-APPROVAL FSMC CHECKLIST'!$D$6:$H$45 = $F$2, ROW('SA PRE-APPROVAL FSMC CHECKLIST'!$B$6:$B$45)-ROW('SA PRE-APPROVAL FSMC CHECKLIST'!$B$6)+1 ),  ROWS('SA PRE-APPROVAL FSMC CHECKLIST'!$B$6:$B21)) ),""), "")</f>
        <v/>
      </c>
      <c r="G19" s="56" t="str">
        <f>IFERROR(VLOOKUP(F19,'SA PRE-APPROVAL FSMC CHECKLIST'!$B:$H,9,0),"")</f>
        <v/>
      </c>
      <c r="H19" s="63"/>
      <c r="I19" s="63"/>
      <c r="J19" s="64"/>
      <c r="K19" s="56" t="str">
        <f t="array" ref="K19">IFERROR(IF($K$2 &lt;&gt; "", INDEX('SA PRE-APPROVAL FSMC CHECKLIST'!$B$6:$B$45,  SMALL( IF( 'SA PRE-APPROVAL FSMC CHECKLIST'!$D$6:$H$45 = $K$2, ROW('SA PRE-APPROVAL FSMC CHECKLIST'!$B$6:$B$45)-ROW('SA PRE-APPROVAL FSMC CHECKLIST'!$B$6)+1 ),  ROWS('SA PRE-APPROVAL FSMC CHECKLIST'!$B$6:$B21)) ),""), "")</f>
        <v/>
      </c>
      <c r="L19" s="56" t="str">
        <f>IFERROR(VLOOKUP(K19,'SA PRE-APPROVAL FSMC CHECKLIST'!$B:$H,9,0),"")</f>
        <v/>
      </c>
      <c r="M19" s="63"/>
      <c r="N19" s="63"/>
      <c r="O19" s="64"/>
      <c r="P19" s="56" t="str">
        <f t="array" ref="P19">IFERROR(IF($P$2 &lt;&gt; "", INDEX('SA PRE-APPROVAL FSMC CHECKLIST'!$B$6:$B$45,  SMALL( IF( 'SA PRE-APPROVAL FSMC CHECKLIST'!$D$6:$H$45 = $P$2, ROW('SA PRE-APPROVAL FSMC CHECKLIST'!$B$6:$B$45)-ROW('SA PRE-APPROVAL FSMC CHECKLIST'!$B$6)+1 ),  ROWS('SA PRE-APPROVAL FSMC CHECKLIST'!$B$6:$B21)) ),""), "")</f>
        <v/>
      </c>
      <c r="Q19" s="56" t="str">
        <f>IFERROR(VLOOKUP(P19,'SA PRE-APPROVAL FSMC CHECKLIST'!$B:$H,9,0),"")</f>
        <v/>
      </c>
      <c r="R19" s="63"/>
      <c r="S19" s="63"/>
      <c r="T19" s="64"/>
      <c r="U19" s="56" t="str">
        <f t="array" ref="U19">IFERROR(IF($U$2 &lt;&gt; "", INDEX('SA PRE-APPROVAL FSMC CHECKLIST'!$B$6:$B$45,  SMALL( IF( 'SA PRE-APPROVAL FSMC CHECKLIST'!$D$6:$H$45 = $U$2, ROW('SA PRE-APPROVAL FSMC CHECKLIST'!$B$6:$B$45)-ROW('SA PRE-APPROVAL FSMC CHECKLIST'!$B$6)+1 ),  ROWS('SA PRE-APPROVAL FSMC CHECKLIST'!$B$6:$B21)) ),""), "")</f>
        <v/>
      </c>
      <c r="V19" s="56" t="str">
        <f>IFERROR(VLOOKUP(U19,'SA PRE-APPROVAL FSMC CHECKLIST'!$B:$H,9,0),"")</f>
        <v/>
      </c>
      <c r="W19" s="63"/>
      <c r="X19" s="63"/>
      <c r="Y19" s="64"/>
      <c r="Z19" s="56" t="str">
        <f t="array" ref="Z19">IFERROR(IF($Z$2 &lt;&gt; "", INDEX('SA PRE-APPROVAL FSMC CHECKLIST'!$B$6:$B$45,  SMALL( IF( 'SA PRE-APPROVAL FSMC CHECKLIST'!$D$6:$H$45 = $Z$2, ROW('SA PRE-APPROVAL FSMC CHECKLIST'!$B$6:$B$45)-ROW('SA PRE-APPROVAL FSMC CHECKLIST'!$B$6)+1 ),  ROWS('SA PRE-APPROVAL FSMC CHECKLIST'!$B$6:$B21)) ),""), "")</f>
        <v/>
      </c>
      <c r="AA19" s="56" t="str">
        <f>IFERROR(VLOOKUP(Z19,'SA PRE-APPROVAL FSMC CHECKLIST'!$B:$H,9,0),"")</f>
        <v/>
      </c>
      <c r="AB19" s="63"/>
      <c r="AC19" s="63"/>
      <c r="AD19" s="64"/>
      <c r="AE19" s="65"/>
      <c r="AF19" s="65"/>
      <c r="AG19" s="65"/>
      <c r="AH19" s="65"/>
      <c r="AI19" s="65"/>
      <c r="AJ19" s="65"/>
      <c r="AK19" s="65"/>
      <c r="AL19" s="65"/>
    </row>
    <row r="20" spans="1:38" s="66" customFormat="1" ht="47.25" x14ac:dyDescent="0.25">
      <c r="A20" s="56" t="str">
        <f t="array" ref="A20">IFERROR(IF($A$2 &lt;&gt; "", INDEX('SA PRE-APPROVAL FSMC CHECKLIST'!$B$6:$B$45,  SMALL( IF( 'SA PRE-APPROVAL FSMC CHECKLIST'!$D$6:$H$45 = $A$2, ROW('SA PRE-APPROVAL FSMC CHECKLIST'!$B$6:$B$45)-ROW('SA PRE-APPROVAL FSMC CHECKLIST'!$B$6)+1 ),  ROWS('SA PRE-APPROVAL FSMC CHECKLIST'!$B$6:$B22)) ),""), "")</f>
        <v xml:space="preserve">   b) Monitor the food service operation through periodic on-site visits?  [7 CFR 210.16(a)(3)]</v>
      </c>
      <c r="B20" s="56" t="str">
        <f>IFERROR(VLOOKUP(A20,'SA PRE-APPROVAL FSMC CHECKLIST'!$B:$H,9,0),"")</f>
        <v/>
      </c>
      <c r="C20" s="63"/>
      <c r="D20" s="63"/>
      <c r="E20" s="64"/>
      <c r="F20" s="56" t="str">
        <f t="array" ref="F20">IFERROR(IF($F$2 &lt;&gt; "", INDEX('SA PRE-APPROVAL FSMC CHECKLIST'!$B$6:$B$45,  SMALL( IF( 'SA PRE-APPROVAL FSMC CHECKLIST'!$D$6:$H$45 = $F$2, ROW('SA PRE-APPROVAL FSMC CHECKLIST'!$B$6:$B$45)-ROW('SA PRE-APPROVAL FSMC CHECKLIST'!$B$6)+1 ),  ROWS('SA PRE-APPROVAL FSMC CHECKLIST'!$B$6:$B22)) ),""), "")</f>
        <v/>
      </c>
      <c r="G20" s="56" t="str">
        <f>IFERROR(VLOOKUP(F20,'SA PRE-APPROVAL FSMC CHECKLIST'!$B:$H,9,0),"")</f>
        <v/>
      </c>
      <c r="H20" s="63"/>
      <c r="I20" s="63"/>
      <c r="J20" s="64"/>
      <c r="K20" s="56" t="str">
        <f t="array" ref="K20">IFERROR(IF($K$2 &lt;&gt; "", INDEX('SA PRE-APPROVAL FSMC CHECKLIST'!$B$6:$B$45,  SMALL( IF( 'SA PRE-APPROVAL FSMC CHECKLIST'!$D$6:$H$45 = $K$2, ROW('SA PRE-APPROVAL FSMC CHECKLIST'!$B$6:$B$45)-ROW('SA PRE-APPROVAL FSMC CHECKLIST'!$B$6)+1 ),  ROWS('SA PRE-APPROVAL FSMC CHECKLIST'!$B$6:$B22)) ),""), "")</f>
        <v/>
      </c>
      <c r="L20" s="56" t="str">
        <f>IFERROR(VLOOKUP(K20,'SA PRE-APPROVAL FSMC CHECKLIST'!$B:$H,9,0),"")</f>
        <v/>
      </c>
      <c r="M20" s="63"/>
      <c r="N20" s="63"/>
      <c r="O20" s="64"/>
      <c r="P20" s="56" t="str">
        <f t="array" ref="P20">IFERROR(IF($P$2 &lt;&gt; "", INDEX('SA PRE-APPROVAL FSMC CHECKLIST'!$B$6:$B$45,  SMALL( IF( 'SA PRE-APPROVAL FSMC CHECKLIST'!$D$6:$H$45 = $P$2, ROW('SA PRE-APPROVAL FSMC CHECKLIST'!$B$6:$B$45)-ROW('SA PRE-APPROVAL FSMC CHECKLIST'!$B$6)+1 ),  ROWS('SA PRE-APPROVAL FSMC CHECKLIST'!$B$6:$B22)) ),""), "")</f>
        <v/>
      </c>
      <c r="Q20" s="56" t="str">
        <f>IFERROR(VLOOKUP(P20,'SA PRE-APPROVAL FSMC CHECKLIST'!$B:$H,9,0),"")</f>
        <v/>
      </c>
      <c r="R20" s="63"/>
      <c r="S20" s="63"/>
      <c r="T20" s="64"/>
      <c r="U20" s="56" t="str">
        <f t="array" ref="U20">IFERROR(IF($U$2 &lt;&gt; "", INDEX('SA PRE-APPROVAL FSMC CHECKLIST'!$B$6:$B$45,  SMALL( IF( 'SA PRE-APPROVAL FSMC CHECKLIST'!$D$6:$H$45 = $U$2, ROW('SA PRE-APPROVAL FSMC CHECKLIST'!$B$6:$B$45)-ROW('SA PRE-APPROVAL FSMC CHECKLIST'!$B$6)+1 ),  ROWS('SA PRE-APPROVAL FSMC CHECKLIST'!$B$6:$B22)) ),""), "")</f>
        <v/>
      </c>
      <c r="V20" s="56" t="str">
        <f>IFERROR(VLOOKUP(U20,'SA PRE-APPROVAL FSMC CHECKLIST'!$B:$H,9,0),"")</f>
        <v/>
      </c>
      <c r="W20" s="63"/>
      <c r="X20" s="63"/>
      <c r="Y20" s="64"/>
      <c r="Z20" s="56" t="str">
        <f t="array" ref="Z20">IFERROR(IF($Z$2 &lt;&gt; "", INDEX('SA PRE-APPROVAL FSMC CHECKLIST'!$B$6:$B$45,  SMALL( IF( 'SA PRE-APPROVAL FSMC CHECKLIST'!$D$6:$H$45 = $Z$2, ROW('SA PRE-APPROVAL FSMC CHECKLIST'!$B$6:$B$45)-ROW('SA PRE-APPROVAL FSMC CHECKLIST'!$B$6)+1 ),  ROWS('SA PRE-APPROVAL FSMC CHECKLIST'!$B$6:$B22)) ),""), "")</f>
        <v/>
      </c>
      <c r="AA20" s="56" t="str">
        <f>IFERROR(VLOOKUP(Z20,'SA PRE-APPROVAL FSMC CHECKLIST'!$B:$H,9,0),"")</f>
        <v/>
      </c>
      <c r="AB20" s="63"/>
      <c r="AC20" s="63"/>
      <c r="AD20" s="64"/>
      <c r="AE20" s="65"/>
      <c r="AF20" s="65"/>
      <c r="AG20" s="65"/>
      <c r="AH20" s="65"/>
      <c r="AI20" s="65"/>
      <c r="AJ20" s="65"/>
      <c r="AK20" s="65"/>
      <c r="AL20" s="65"/>
    </row>
    <row r="21" spans="1:38" s="66" customFormat="1" ht="47.25" x14ac:dyDescent="0.25">
      <c r="A21" s="56" t="str">
        <f t="array" ref="A21">IFERROR(IF($A$2 &lt;&gt; "", INDEX('SA PRE-APPROVAL FSMC CHECKLIST'!$B$6:$B$45,  SMALL( IF( 'SA PRE-APPROVAL FSMC CHECKLIST'!$D$6:$H$45 = $A$2, ROW('SA PRE-APPROVAL FSMC CHECKLIST'!$B$6:$B$45)-ROW('SA PRE-APPROVAL FSMC CHECKLIST'!$B$6)+1 ),  ROWS('SA PRE-APPROVAL FSMC CHECKLIST'!$B$6:$B23)) ),""), "")</f>
        <v xml:space="preserve">   b) Monitor the food service operation through periodic on-site visits?  [7 CFR 210.16(a)(3)]</v>
      </c>
      <c r="B21" s="56" t="str">
        <f>IFERROR(VLOOKUP(A21,'SA PRE-APPROVAL FSMC CHECKLIST'!$B:$H,9,0),"")</f>
        <v/>
      </c>
      <c r="C21" s="63"/>
      <c r="D21" s="63"/>
      <c r="E21" s="64"/>
      <c r="F21" s="56" t="str">
        <f t="array" ref="F21">IFERROR(IF($F$2 &lt;&gt; "", INDEX('SA PRE-APPROVAL FSMC CHECKLIST'!$B$6:$B$45,  SMALL( IF( 'SA PRE-APPROVAL FSMC CHECKLIST'!$D$6:$H$45 = $F$2, ROW('SA PRE-APPROVAL FSMC CHECKLIST'!$B$6:$B$45)-ROW('SA PRE-APPROVAL FSMC CHECKLIST'!$B$6)+1 ),  ROWS('SA PRE-APPROVAL FSMC CHECKLIST'!$B$6:$B23)) ),""), "")</f>
        <v/>
      </c>
      <c r="G21" s="56" t="str">
        <f>IFERROR(VLOOKUP(F21,'SA PRE-APPROVAL FSMC CHECKLIST'!$B:$H,9,0),"")</f>
        <v/>
      </c>
      <c r="H21" s="63"/>
      <c r="I21" s="63"/>
      <c r="J21" s="64"/>
      <c r="K21" s="56" t="str">
        <f t="array" ref="K21">IFERROR(IF($K$2 &lt;&gt; "", INDEX('SA PRE-APPROVAL FSMC CHECKLIST'!$B$6:$B$45,  SMALL( IF( 'SA PRE-APPROVAL FSMC CHECKLIST'!$D$6:$H$45 = $K$2, ROW('SA PRE-APPROVAL FSMC CHECKLIST'!$B$6:$B$45)-ROW('SA PRE-APPROVAL FSMC CHECKLIST'!$B$6)+1 ),  ROWS('SA PRE-APPROVAL FSMC CHECKLIST'!$B$6:$B23)) ),""), "")</f>
        <v/>
      </c>
      <c r="L21" s="56" t="str">
        <f>IFERROR(VLOOKUP(K21,'SA PRE-APPROVAL FSMC CHECKLIST'!$B:$H,9,0),"")</f>
        <v/>
      </c>
      <c r="M21" s="63"/>
      <c r="N21" s="63"/>
      <c r="O21" s="64"/>
      <c r="P21" s="56" t="str">
        <f t="array" ref="P21">IFERROR(IF($P$2 &lt;&gt; "", INDEX('SA PRE-APPROVAL FSMC CHECKLIST'!$B$6:$B$45,  SMALL( IF( 'SA PRE-APPROVAL FSMC CHECKLIST'!$D$6:$H$45 = $P$2, ROW('SA PRE-APPROVAL FSMC CHECKLIST'!$B$6:$B$45)-ROW('SA PRE-APPROVAL FSMC CHECKLIST'!$B$6)+1 ),  ROWS('SA PRE-APPROVAL FSMC CHECKLIST'!$B$6:$B23)) ),""), "")</f>
        <v/>
      </c>
      <c r="Q21" s="56" t="str">
        <f>IFERROR(VLOOKUP(P21,'SA PRE-APPROVAL FSMC CHECKLIST'!$B:$H,9,0),"")</f>
        <v/>
      </c>
      <c r="R21" s="63"/>
      <c r="S21" s="63"/>
      <c r="T21" s="64"/>
      <c r="U21" s="56" t="str">
        <f t="array" ref="U21">IFERROR(IF($U$2 &lt;&gt; "", INDEX('SA PRE-APPROVAL FSMC CHECKLIST'!$B$6:$B$45,  SMALL( IF( 'SA PRE-APPROVAL FSMC CHECKLIST'!$D$6:$H$45 = $U$2, ROW('SA PRE-APPROVAL FSMC CHECKLIST'!$B$6:$B$45)-ROW('SA PRE-APPROVAL FSMC CHECKLIST'!$B$6)+1 ),  ROWS('SA PRE-APPROVAL FSMC CHECKLIST'!$B$6:$B23)) ),""), "")</f>
        <v/>
      </c>
      <c r="V21" s="56" t="str">
        <f>IFERROR(VLOOKUP(U21,'SA PRE-APPROVAL FSMC CHECKLIST'!$B:$H,9,0),"")</f>
        <v/>
      </c>
      <c r="W21" s="63"/>
      <c r="X21" s="63"/>
      <c r="Y21" s="64"/>
      <c r="Z21" s="56" t="str">
        <f t="array" ref="Z21">IFERROR(IF($Z$2 &lt;&gt; "", INDEX('SA PRE-APPROVAL FSMC CHECKLIST'!$B$6:$B$45,  SMALL( IF( 'SA PRE-APPROVAL FSMC CHECKLIST'!$D$6:$H$45 = $Z$2, ROW('SA PRE-APPROVAL FSMC CHECKLIST'!$B$6:$B$45)-ROW('SA PRE-APPROVAL FSMC CHECKLIST'!$B$6)+1 ),  ROWS('SA PRE-APPROVAL FSMC CHECKLIST'!$B$6:$B23)) ),""), "")</f>
        <v/>
      </c>
      <c r="AA21" s="56" t="str">
        <f>IFERROR(VLOOKUP(Z21,'SA PRE-APPROVAL FSMC CHECKLIST'!$B:$H,9,0),"")</f>
        <v/>
      </c>
      <c r="AB21" s="63"/>
      <c r="AC21" s="63"/>
      <c r="AD21" s="64"/>
      <c r="AE21" s="65"/>
      <c r="AF21" s="65"/>
      <c r="AG21" s="65"/>
      <c r="AH21" s="65"/>
      <c r="AI21" s="65"/>
      <c r="AJ21" s="65"/>
      <c r="AK21" s="65"/>
      <c r="AL21" s="65"/>
    </row>
    <row r="22" spans="1:38" s="66" customFormat="1" ht="47.25" x14ac:dyDescent="0.25">
      <c r="A22" s="56" t="str">
        <f t="array" ref="A22">IFERROR(IF($A$2 &lt;&gt; "", INDEX('SA PRE-APPROVAL FSMC CHECKLIST'!$B$6:$B$45,  SMALL( IF( 'SA PRE-APPROVAL FSMC CHECKLIST'!$D$6:$H$45 = $A$2, ROW('SA PRE-APPROVAL FSMC CHECKLIST'!$B$6:$B$45)-ROW('SA PRE-APPROVAL FSMC CHECKLIST'!$B$6)+1 ),  ROWS('SA PRE-APPROVAL FSMC CHECKLIST'!$B$6:$B24)) ),""), "")</f>
        <v xml:space="preserve">   b) Monitor the food service operation through periodic on-site visits?  [7 CFR 210.16(a)(3)]</v>
      </c>
      <c r="B22" s="56" t="str">
        <f>IFERROR(VLOOKUP(A22,'SA PRE-APPROVAL FSMC CHECKLIST'!$B:$H,9,0),"")</f>
        <v/>
      </c>
      <c r="C22" s="63"/>
      <c r="D22" s="63"/>
      <c r="E22" s="64"/>
      <c r="F22" s="56" t="str">
        <f t="array" ref="F22">IFERROR(IF($F$2 &lt;&gt; "", INDEX('SA PRE-APPROVAL FSMC CHECKLIST'!$B$6:$B$45,  SMALL( IF( 'SA PRE-APPROVAL FSMC CHECKLIST'!$D$6:$H$45 = $F$2, ROW('SA PRE-APPROVAL FSMC CHECKLIST'!$B$6:$B$45)-ROW('SA PRE-APPROVAL FSMC CHECKLIST'!$B$6)+1 ),  ROWS('SA PRE-APPROVAL FSMC CHECKLIST'!$B$6:$B24)) ),""), "")</f>
        <v/>
      </c>
      <c r="G22" s="56" t="str">
        <f>IFERROR(VLOOKUP(F22,'SA PRE-APPROVAL FSMC CHECKLIST'!$B:$H,9,0),"")</f>
        <v/>
      </c>
      <c r="H22" s="63"/>
      <c r="I22" s="63"/>
      <c r="J22" s="64"/>
      <c r="K22" s="56" t="str">
        <f t="array" ref="K22">IFERROR(IF($K$2 &lt;&gt; "", INDEX('SA PRE-APPROVAL FSMC CHECKLIST'!$B$6:$B$45,  SMALL( IF( 'SA PRE-APPROVAL FSMC CHECKLIST'!$D$6:$H$45 = $K$2, ROW('SA PRE-APPROVAL FSMC CHECKLIST'!$B$6:$B$45)-ROW('SA PRE-APPROVAL FSMC CHECKLIST'!$B$6)+1 ),  ROWS('SA PRE-APPROVAL FSMC CHECKLIST'!$B$6:$B24)) ),""), "")</f>
        <v/>
      </c>
      <c r="L22" s="56" t="str">
        <f>IFERROR(VLOOKUP(K22,'SA PRE-APPROVAL FSMC CHECKLIST'!$B:$H,9,0),"")</f>
        <v/>
      </c>
      <c r="M22" s="63"/>
      <c r="N22" s="63"/>
      <c r="O22" s="64"/>
      <c r="P22" s="56" t="str">
        <f t="array" ref="P22">IFERROR(IF($P$2 &lt;&gt; "", INDEX('SA PRE-APPROVAL FSMC CHECKLIST'!$B$6:$B$45,  SMALL( IF( 'SA PRE-APPROVAL FSMC CHECKLIST'!$D$6:$H$45 = $P$2, ROW('SA PRE-APPROVAL FSMC CHECKLIST'!$B$6:$B$45)-ROW('SA PRE-APPROVAL FSMC CHECKLIST'!$B$6)+1 ),  ROWS('SA PRE-APPROVAL FSMC CHECKLIST'!$B$6:$B24)) ),""), "")</f>
        <v/>
      </c>
      <c r="Q22" s="56" t="str">
        <f>IFERROR(VLOOKUP(P22,'SA PRE-APPROVAL FSMC CHECKLIST'!$B:$H,9,0),"")</f>
        <v/>
      </c>
      <c r="R22" s="63"/>
      <c r="S22" s="63"/>
      <c r="T22" s="64"/>
      <c r="U22" s="56" t="str">
        <f t="array" ref="U22">IFERROR(IF($U$2 &lt;&gt; "", INDEX('SA PRE-APPROVAL FSMC CHECKLIST'!$B$6:$B$45,  SMALL( IF( 'SA PRE-APPROVAL FSMC CHECKLIST'!$D$6:$H$45 = $U$2, ROW('SA PRE-APPROVAL FSMC CHECKLIST'!$B$6:$B$45)-ROW('SA PRE-APPROVAL FSMC CHECKLIST'!$B$6)+1 ),  ROWS('SA PRE-APPROVAL FSMC CHECKLIST'!$B$6:$B24)) ),""), "")</f>
        <v/>
      </c>
      <c r="V22" s="56" t="str">
        <f>IFERROR(VLOOKUP(U22,'SA PRE-APPROVAL FSMC CHECKLIST'!$B:$H,9,0),"")</f>
        <v/>
      </c>
      <c r="W22" s="63"/>
      <c r="X22" s="63"/>
      <c r="Y22" s="64"/>
      <c r="Z22" s="56" t="str">
        <f t="array" ref="Z22">IFERROR(IF($Z$2 &lt;&gt; "", INDEX('SA PRE-APPROVAL FSMC CHECKLIST'!$B$6:$B$45,  SMALL( IF( 'SA PRE-APPROVAL FSMC CHECKLIST'!$D$6:$H$45 = $Z$2, ROW('SA PRE-APPROVAL FSMC CHECKLIST'!$B$6:$B$45)-ROW('SA PRE-APPROVAL FSMC CHECKLIST'!$B$6)+1 ),  ROWS('SA PRE-APPROVAL FSMC CHECKLIST'!$B$6:$B24)) ),""), "")</f>
        <v/>
      </c>
      <c r="AA22" s="56" t="str">
        <f>IFERROR(VLOOKUP(Z22,'SA PRE-APPROVAL FSMC CHECKLIST'!$B:$H,9,0),"")</f>
        <v/>
      </c>
      <c r="AB22" s="63"/>
      <c r="AC22" s="63"/>
      <c r="AD22" s="64"/>
      <c r="AE22" s="65"/>
      <c r="AF22" s="65"/>
      <c r="AG22" s="65"/>
      <c r="AH22" s="65"/>
      <c r="AI22" s="65"/>
      <c r="AJ22" s="65"/>
      <c r="AK22" s="65"/>
      <c r="AL22" s="65"/>
    </row>
    <row r="23" spans="1:38" s="66" customFormat="1" ht="63" x14ac:dyDescent="0.25">
      <c r="A23" s="56" t="str">
        <f t="array" ref="A23">IFERROR(IF($A$2 &lt;&gt; "", INDEX('SA PRE-APPROVAL FSMC CHECKLIST'!$B$6:$B$45,  SMALL( IF( 'SA PRE-APPROVAL FSMC CHECKLIST'!$D$6:$H$45 = $A$2, ROW('SA PRE-APPROVAL FSMC CHECKLIST'!$B$6:$B$45)-ROW('SA PRE-APPROVAL FSMC CHECKLIST'!$B$6)+1 ),  ROWS('SA PRE-APPROVAL FSMC CHECKLIST'!$B$6:$B25)) ),""), "")</f>
        <v xml:space="preserve">   c) Retain control of the quality, extent, and general nature of its food service, and the prices to be charged the children for meals?  [7 CFR 210.16(a)(4)]</v>
      </c>
      <c r="B23" s="56" t="str">
        <f>IFERROR(VLOOKUP(A23,'SA PRE-APPROVAL FSMC CHECKLIST'!$B:$H,9,0),"")</f>
        <v/>
      </c>
      <c r="C23" s="63"/>
      <c r="D23" s="63"/>
      <c r="E23" s="64"/>
      <c r="F23" s="56" t="str">
        <f t="array" ref="F23">IFERROR(IF($F$2 &lt;&gt; "", INDEX('SA PRE-APPROVAL FSMC CHECKLIST'!$B$6:$B$45,  SMALL( IF( 'SA PRE-APPROVAL FSMC CHECKLIST'!$D$6:$H$45 = $F$2, ROW('SA PRE-APPROVAL FSMC CHECKLIST'!$B$6:$B$45)-ROW('SA PRE-APPROVAL FSMC CHECKLIST'!$B$6)+1 ),  ROWS('SA PRE-APPROVAL FSMC CHECKLIST'!$B$6:$B25)) ),""), "")</f>
        <v/>
      </c>
      <c r="G23" s="56" t="str">
        <f>IFERROR(VLOOKUP(F23,'SA PRE-APPROVAL FSMC CHECKLIST'!$B:$H,9,0),"")</f>
        <v/>
      </c>
      <c r="H23" s="63"/>
      <c r="I23" s="63"/>
      <c r="J23" s="64"/>
      <c r="K23" s="56" t="str">
        <f t="array" ref="K23">IFERROR(IF($K$2 &lt;&gt; "", INDEX('SA PRE-APPROVAL FSMC CHECKLIST'!$B$6:$B$45,  SMALL( IF( 'SA PRE-APPROVAL FSMC CHECKLIST'!$D$6:$H$45 = $K$2, ROW('SA PRE-APPROVAL FSMC CHECKLIST'!$B$6:$B$45)-ROW('SA PRE-APPROVAL FSMC CHECKLIST'!$B$6)+1 ),  ROWS('SA PRE-APPROVAL FSMC CHECKLIST'!$B$6:$B25)) ),""), "")</f>
        <v/>
      </c>
      <c r="L23" s="56" t="str">
        <f>IFERROR(VLOOKUP(K23,'SA PRE-APPROVAL FSMC CHECKLIST'!$B:$H,9,0),"")</f>
        <v/>
      </c>
      <c r="M23" s="63"/>
      <c r="N23" s="63"/>
      <c r="O23" s="64"/>
      <c r="P23" s="56" t="str">
        <f t="array" ref="P23">IFERROR(IF($P$2 &lt;&gt; "", INDEX('SA PRE-APPROVAL FSMC CHECKLIST'!$B$6:$B$45,  SMALL( IF( 'SA PRE-APPROVAL FSMC CHECKLIST'!$D$6:$H$45 = $P$2, ROW('SA PRE-APPROVAL FSMC CHECKLIST'!$B$6:$B$45)-ROW('SA PRE-APPROVAL FSMC CHECKLIST'!$B$6)+1 ),  ROWS('SA PRE-APPROVAL FSMC CHECKLIST'!$B$6:$B25)) ),""), "")</f>
        <v/>
      </c>
      <c r="Q23" s="56" t="str">
        <f>IFERROR(VLOOKUP(P23,'SA PRE-APPROVAL FSMC CHECKLIST'!$B:$H,9,0),"")</f>
        <v/>
      </c>
      <c r="R23" s="63"/>
      <c r="S23" s="63"/>
      <c r="T23" s="64"/>
      <c r="U23" s="56" t="str">
        <f t="array" ref="U23">IFERROR(IF($U$2 &lt;&gt; "", INDEX('SA PRE-APPROVAL FSMC CHECKLIST'!$B$6:$B$45,  SMALL( IF( 'SA PRE-APPROVAL FSMC CHECKLIST'!$D$6:$H$45 = $U$2, ROW('SA PRE-APPROVAL FSMC CHECKLIST'!$B$6:$B$45)-ROW('SA PRE-APPROVAL FSMC CHECKLIST'!$B$6)+1 ),  ROWS('SA PRE-APPROVAL FSMC CHECKLIST'!$B$6:$B25)) ),""), "")</f>
        <v/>
      </c>
      <c r="V23" s="56" t="str">
        <f>IFERROR(VLOOKUP(U23,'SA PRE-APPROVAL FSMC CHECKLIST'!$B:$H,9,0),"")</f>
        <v/>
      </c>
      <c r="W23" s="63"/>
      <c r="X23" s="63"/>
      <c r="Y23" s="64"/>
      <c r="Z23" s="56" t="str">
        <f t="array" ref="Z23">IFERROR(IF($Z$2 &lt;&gt; "", INDEX('SA PRE-APPROVAL FSMC CHECKLIST'!$B$6:$B$45,  SMALL( IF( 'SA PRE-APPROVAL FSMC CHECKLIST'!$D$6:$H$45 = $Z$2, ROW('SA PRE-APPROVAL FSMC CHECKLIST'!$B$6:$B$45)-ROW('SA PRE-APPROVAL FSMC CHECKLIST'!$B$6)+1 ),  ROWS('SA PRE-APPROVAL FSMC CHECKLIST'!$B$6:$B25)) ),""), "")</f>
        <v/>
      </c>
      <c r="AA23" s="56" t="str">
        <f>IFERROR(VLOOKUP(Z23,'SA PRE-APPROVAL FSMC CHECKLIST'!$B:$H,9,0),"")</f>
        <v/>
      </c>
      <c r="AB23" s="63"/>
      <c r="AC23" s="63"/>
      <c r="AD23" s="64"/>
      <c r="AE23" s="65"/>
      <c r="AF23" s="65"/>
      <c r="AG23" s="65"/>
      <c r="AH23" s="65"/>
      <c r="AI23" s="65"/>
      <c r="AJ23" s="65"/>
      <c r="AK23" s="65"/>
      <c r="AL23" s="65"/>
    </row>
    <row r="24" spans="1:38" s="66" customFormat="1" ht="63" x14ac:dyDescent="0.25">
      <c r="A24" s="56" t="str">
        <f t="array" ref="A24">IFERROR(IF($A$2 &lt;&gt; "", INDEX('SA PRE-APPROVAL FSMC CHECKLIST'!$B$6:$B$45,  SMALL( IF( 'SA PRE-APPROVAL FSMC CHECKLIST'!$D$6:$H$45 = $A$2, ROW('SA PRE-APPROVAL FSMC CHECKLIST'!$B$6:$B$45)-ROW('SA PRE-APPROVAL FSMC CHECKLIST'!$B$6)+1 ),  ROWS('SA PRE-APPROVAL FSMC CHECKLIST'!$B$6:$B26)) ),""), "")</f>
        <v xml:space="preserve">   c) Retain control of the quality, extent, and general nature of its food service, and the prices to be charged the children for meals?  [7 CFR 210.16(a)(4)]</v>
      </c>
      <c r="B24" s="56" t="str">
        <f>IFERROR(VLOOKUP(A24,'SA PRE-APPROVAL FSMC CHECKLIST'!$B:$H,9,0),"")</f>
        <v/>
      </c>
      <c r="C24" s="63"/>
      <c r="D24" s="63"/>
      <c r="E24" s="64"/>
      <c r="F24" s="56" t="str">
        <f t="array" ref="F24">IFERROR(IF($F$2 &lt;&gt; "", INDEX('SA PRE-APPROVAL FSMC CHECKLIST'!$B$6:$B$45,  SMALL( IF( 'SA PRE-APPROVAL FSMC CHECKLIST'!$D$6:$H$45 = $F$2, ROW('SA PRE-APPROVAL FSMC CHECKLIST'!$B$6:$B$45)-ROW('SA PRE-APPROVAL FSMC CHECKLIST'!$B$6)+1 ),  ROWS('SA PRE-APPROVAL FSMC CHECKLIST'!$B$6:$B26)) ),""), "")</f>
        <v/>
      </c>
      <c r="G24" s="56" t="str">
        <f>IFERROR(VLOOKUP(F24,'SA PRE-APPROVAL FSMC CHECKLIST'!$B:$H,9,0),"")</f>
        <v/>
      </c>
      <c r="H24" s="63"/>
      <c r="I24" s="63"/>
      <c r="J24" s="64"/>
      <c r="K24" s="56" t="str">
        <f t="array" ref="K24">IFERROR(IF($K$2 &lt;&gt; "", INDEX('SA PRE-APPROVAL FSMC CHECKLIST'!$B$6:$B$45,  SMALL( IF( 'SA PRE-APPROVAL FSMC CHECKLIST'!$D$6:$H$45 = $K$2, ROW('SA PRE-APPROVAL FSMC CHECKLIST'!$B$6:$B$45)-ROW('SA PRE-APPROVAL FSMC CHECKLIST'!$B$6)+1 ),  ROWS('SA PRE-APPROVAL FSMC CHECKLIST'!$B$6:$B26)) ),""), "")</f>
        <v/>
      </c>
      <c r="L24" s="56" t="str">
        <f>IFERROR(VLOOKUP(K24,'SA PRE-APPROVAL FSMC CHECKLIST'!$B:$H,9,0),"")</f>
        <v/>
      </c>
      <c r="M24" s="63"/>
      <c r="N24" s="63"/>
      <c r="O24" s="64"/>
      <c r="P24" s="56" t="str">
        <f t="array" ref="P24">IFERROR(IF($P$2 &lt;&gt; "", INDEX('SA PRE-APPROVAL FSMC CHECKLIST'!$B$6:$B$45,  SMALL( IF( 'SA PRE-APPROVAL FSMC CHECKLIST'!$D$6:$H$45 = $P$2, ROW('SA PRE-APPROVAL FSMC CHECKLIST'!$B$6:$B$45)-ROW('SA PRE-APPROVAL FSMC CHECKLIST'!$B$6)+1 ),  ROWS('SA PRE-APPROVAL FSMC CHECKLIST'!$B$6:$B26)) ),""), "")</f>
        <v/>
      </c>
      <c r="Q24" s="56" t="str">
        <f>IFERROR(VLOOKUP(P24,'SA PRE-APPROVAL FSMC CHECKLIST'!$B:$H,9,0),"")</f>
        <v/>
      </c>
      <c r="R24" s="63"/>
      <c r="S24" s="63"/>
      <c r="T24" s="64"/>
      <c r="U24" s="56" t="str">
        <f t="array" ref="U24">IFERROR(IF($U$2 &lt;&gt; "", INDEX('SA PRE-APPROVAL FSMC CHECKLIST'!$B$6:$B$45,  SMALL( IF( 'SA PRE-APPROVAL FSMC CHECKLIST'!$D$6:$H$45 = $U$2, ROW('SA PRE-APPROVAL FSMC CHECKLIST'!$B$6:$B$45)-ROW('SA PRE-APPROVAL FSMC CHECKLIST'!$B$6)+1 ),  ROWS('SA PRE-APPROVAL FSMC CHECKLIST'!$B$6:$B26)) ),""), "")</f>
        <v/>
      </c>
      <c r="V24" s="56" t="str">
        <f>IFERROR(VLOOKUP(U24,'SA PRE-APPROVAL FSMC CHECKLIST'!$B:$H,9,0),"")</f>
        <v/>
      </c>
      <c r="W24" s="63"/>
      <c r="X24" s="63"/>
      <c r="Y24" s="64"/>
      <c r="Z24" s="56" t="str">
        <f t="array" ref="Z24">IFERROR(IF($Z$2 &lt;&gt; "", INDEX('SA PRE-APPROVAL FSMC CHECKLIST'!$B$6:$B$45,  SMALL( IF( 'SA PRE-APPROVAL FSMC CHECKLIST'!$D$6:$H$45 = $Z$2, ROW('SA PRE-APPROVAL FSMC CHECKLIST'!$B$6:$B$45)-ROW('SA PRE-APPROVAL FSMC CHECKLIST'!$B$6)+1 ),  ROWS('SA PRE-APPROVAL FSMC CHECKLIST'!$B$6:$B26)) ),""), "")</f>
        <v/>
      </c>
      <c r="AA24" s="56" t="str">
        <f>IFERROR(VLOOKUP(Z24,'SA PRE-APPROVAL FSMC CHECKLIST'!$B:$H,9,0),"")</f>
        <v/>
      </c>
      <c r="AB24" s="63"/>
      <c r="AC24" s="63"/>
      <c r="AD24" s="64"/>
      <c r="AE24" s="65"/>
      <c r="AF24" s="65"/>
      <c r="AG24" s="65"/>
      <c r="AH24" s="65"/>
      <c r="AI24" s="65"/>
      <c r="AJ24" s="65"/>
      <c r="AK24" s="65"/>
      <c r="AL24" s="65"/>
    </row>
    <row r="25" spans="1:38" s="66" customFormat="1" ht="63" x14ac:dyDescent="0.25">
      <c r="A25" s="56" t="str">
        <f t="array" ref="A25">IFERROR(IF($A$2 &lt;&gt; "", INDEX('SA PRE-APPROVAL FSMC CHECKLIST'!$B$6:$B$45,  SMALL( IF( 'SA PRE-APPROVAL FSMC CHECKLIST'!$D$6:$H$45 = $A$2, ROW('SA PRE-APPROVAL FSMC CHECKLIST'!$B$6:$B$45)-ROW('SA PRE-APPROVAL FSMC CHECKLIST'!$B$6)+1 ),  ROWS('SA PRE-APPROVAL FSMC CHECKLIST'!$B$6:$B27)) ),""), "")</f>
        <v xml:space="preserve">   c) Retain control of the quality, extent, and general nature of its food service, and the prices to be charged the children for meals?  [7 CFR 210.16(a)(4)]</v>
      </c>
      <c r="B25" s="56" t="str">
        <f>IFERROR(VLOOKUP(A25,'SA PRE-APPROVAL FSMC CHECKLIST'!$B:$H,9,0),"")</f>
        <v/>
      </c>
      <c r="C25" s="63"/>
      <c r="D25" s="63"/>
      <c r="E25" s="64"/>
      <c r="F25" s="56" t="str">
        <f t="array" ref="F25">IFERROR(IF($F$2 &lt;&gt; "", INDEX('SA PRE-APPROVAL FSMC CHECKLIST'!$B$6:$B$45,  SMALL( IF( 'SA PRE-APPROVAL FSMC CHECKLIST'!$D$6:$H$45 = $F$2, ROW('SA PRE-APPROVAL FSMC CHECKLIST'!$B$6:$B$45)-ROW('SA PRE-APPROVAL FSMC CHECKLIST'!$B$6)+1 ),  ROWS('SA PRE-APPROVAL FSMC CHECKLIST'!$B$6:$B27)) ),""), "")</f>
        <v/>
      </c>
      <c r="G25" s="56" t="str">
        <f>IFERROR(VLOOKUP(F25,'SA PRE-APPROVAL FSMC CHECKLIST'!$B:$H,9,0),"")</f>
        <v/>
      </c>
      <c r="H25" s="63"/>
      <c r="I25" s="63"/>
      <c r="J25" s="64"/>
      <c r="K25" s="56" t="str">
        <f t="array" ref="K25">IFERROR(IF($K$2 &lt;&gt; "", INDEX('SA PRE-APPROVAL FSMC CHECKLIST'!$B$6:$B$45,  SMALL( IF( 'SA PRE-APPROVAL FSMC CHECKLIST'!$D$6:$H$45 = $K$2, ROW('SA PRE-APPROVAL FSMC CHECKLIST'!$B$6:$B$45)-ROW('SA PRE-APPROVAL FSMC CHECKLIST'!$B$6)+1 ),  ROWS('SA PRE-APPROVAL FSMC CHECKLIST'!$B$6:$B27)) ),""), "")</f>
        <v/>
      </c>
      <c r="L25" s="56" t="str">
        <f>IFERROR(VLOOKUP(K25,'SA PRE-APPROVAL FSMC CHECKLIST'!$B:$H,9,0),"")</f>
        <v/>
      </c>
      <c r="M25" s="63"/>
      <c r="N25" s="63"/>
      <c r="O25" s="64"/>
      <c r="P25" s="56" t="str">
        <f t="array" ref="P25">IFERROR(IF($P$2 &lt;&gt; "", INDEX('SA PRE-APPROVAL FSMC CHECKLIST'!$B$6:$B$45,  SMALL( IF( 'SA PRE-APPROVAL FSMC CHECKLIST'!$D$6:$H$45 = $P$2, ROW('SA PRE-APPROVAL FSMC CHECKLIST'!$B$6:$B$45)-ROW('SA PRE-APPROVAL FSMC CHECKLIST'!$B$6)+1 ),  ROWS('SA PRE-APPROVAL FSMC CHECKLIST'!$B$6:$B27)) ),""), "")</f>
        <v/>
      </c>
      <c r="Q25" s="56" t="str">
        <f>IFERROR(VLOOKUP(P25,'SA PRE-APPROVAL FSMC CHECKLIST'!$B:$H,9,0),"")</f>
        <v/>
      </c>
      <c r="R25" s="63"/>
      <c r="S25" s="63"/>
      <c r="T25" s="64"/>
      <c r="U25" s="56" t="str">
        <f t="array" ref="U25">IFERROR(IF($U$2 &lt;&gt; "", INDEX('SA PRE-APPROVAL FSMC CHECKLIST'!$B$6:$B$45,  SMALL( IF( 'SA PRE-APPROVAL FSMC CHECKLIST'!$D$6:$H$45 = $U$2, ROW('SA PRE-APPROVAL FSMC CHECKLIST'!$B$6:$B$45)-ROW('SA PRE-APPROVAL FSMC CHECKLIST'!$B$6)+1 ),  ROWS('SA PRE-APPROVAL FSMC CHECKLIST'!$B$6:$B27)) ),""), "")</f>
        <v/>
      </c>
      <c r="V25" s="56" t="str">
        <f>IFERROR(VLOOKUP(U25,'SA PRE-APPROVAL FSMC CHECKLIST'!$B:$H,9,0),"")</f>
        <v/>
      </c>
      <c r="W25" s="63"/>
      <c r="X25" s="63"/>
      <c r="Y25" s="64"/>
      <c r="Z25" s="56" t="str">
        <f t="array" ref="Z25">IFERROR(IF($Z$2 &lt;&gt; "", INDEX('SA PRE-APPROVAL FSMC CHECKLIST'!$B$6:$B$45,  SMALL( IF( 'SA PRE-APPROVAL FSMC CHECKLIST'!$D$6:$H$45 = $Z$2, ROW('SA PRE-APPROVAL FSMC CHECKLIST'!$B$6:$B$45)-ROW('SA PRE-APPROVAL FSMC CHECKLIST'!$B$6)+1 ),  ROWS('SA PRE-APPROVAL FSMC CHECKLIST'!$B$6:$B27)) ),""), "")</f>
        <v/>
      </c>
      <c r="AA25" s="56" t="str">
        <f>IFERROR(VLOOKUP(Z25,'SA PRE-APPROVAL FSMC CHECKLIST'!$B:$H,9,0),"")</f>
        <v/>
      </c>
      <c r="AB25" s="63"/>
      <c r="AC25" s="63"/>
      <c r="AD25" s="64"/>
      <c r="AE25" s="65"/>
      <c r="AF25" s="65"/>
      <c r="AG25" s="65"/>
      <c r="AH25" s="65"/>
      <c r="AI25" s="65"/>
      <c r="AJ25" s="65"/>
      <c r="AK25" s="65"/>
      <c r="AL25" s="65"/>
    </row>
    <row r="26" spans="1:38" s="66" customFormat="1" ht="63" x14ac:dyDescent="0.25">
      <c r="A26" s="56" t="str">
        <f t="array" ref="A26">IFERROR(IF($A$2 &lt;&gt; "", INDEX('SA PRE-APPROVAL FSMC CHECKLIST'!$B$6:$B$45,  SMALL( IF( 'SA PRE-APPROVAL FSMC CHECKLIST'!$D$6:$H$45 = $A$2, ROW('SA PRE-APPROVAL FSMC CHECKLIST'!$B$6:$B$45)-ROW('SA PRE-APPROVAL FSMC CHECKLIST'!$B$6)+1 ),  ROWS('SA PRE-APPROVAL FSMC CHECKLIST'!$B$6:$B28)) ),""), "")</f>
        <v xml:space="preserve">   c) Retain control of the quality, extent, and general nature of its food service, and the prices to be charged the children for meals?  [7 CFR 210.16(a)(4)]</v>
      </c>
      <c r="B26" s="56" t="str">
        <f>IFERROR(VLOOKUP(A26,'SA PRE-APPROVAL FSMC CHECKLIST'!$B:$H,9,0),"")</f>
        <v/>
      </c>
      <c r="C26" s="63"/>
      <c r="D26" s="63"/>
      <c r="E26" s="64"/>
      <c r="F26" s="56" t="str">
        <f t="array" ref="F26">IFERROR(IF($F$2 &lt;&gt; "", INDEX('SA PRE-APPROVAL FSMC CHECKLIST'!$B$6:$B$45,  SMALL( IF( 'SA PRE-APPROVAL FSMC CHECKLIST'!$D$6:$H$45 = $F$2, ROW('SA PRE-APPROVAL FSMC CHECKLIST'!$B$6:$B$45)-ROW('SA PRE-APPROVAL FSMC CHECKLIST'!$B$6)+1 ),  ROWS('SA PRE-APPROVAL FSMC CHECKLIST'!$B$6:$B28)) ),""), "")</f>
        <v/>
      </c>
      <c r="G26" s="56" t="str">
        <f>IFERROR(VLOOKUP(F26,'SA PRE-APPROVAL FSMC CHECKLIST'!$B:$H,9,0),"")</f>
        <v/>
      </c>
      <c r="H26" s="63"/>
      <c r="I26" s="63"/>
      <c r="J26" s="64"/>
      <c r="K26" s="56" t="str">
        <f t="array" ref="K26">IFERROR(IF($K$2 &lt;&gt; "", INDEX('SA PRE-APPROVAL FSMC CHECKLIST'!$B$6:$B$45,  SMALL( IF( 'SA PRE-APPROVAL FSMC CHECKLIST'!$D$6:$H$45 = $K$2, ROW('SA PRE-APPROVAL FSMC CHECKLIST'!$B$6:$B$45)-ROW('SA PRE-APPROVAL FSMC CHECKLIST'!$B$6)+1 ),  ROWS('SA PRE-APPROVAL FSMC CHECKLIST'!$B$6:$B28)) ),""), "")</f>
        <v/>
      </c>
      <c r="L26" s="56" t="str">
        <f>IFERROR(VLOOKUP(K26,'SA PRE-APPROVAL FSMC CHECKLIST'!$B:$H,9,0),"")</f>
        <v/>
      </c>
      <c r="M26" s="63"/>
      <c r="N26" s="63"/>
      <c r="O26" s="64"/>
      <c r="P26" s="56" t="str">
        <f t="array" ref="P26">IFERROR(IF($P$2 &lt;&gt; "", INDEX('SA PRE-APPROVAL FSMC CHECKLIST'!$B$6:$B$45,  SMALL( IF( 'SA PRE-APPROVAL FSMC CHECKLIST'!$D$6:$H$45 = $P$2, ROW('SA PRE-APPROVAL FSMC CHECKLIST'!$B$6:$B$45)-ROW('SA PRE-APPROVAL FSMC CHECKLIST'!$B$6)+1 ),  ROWS('SA PRE-APPROVAL FSMC CHECKLIST'!$B$6:$B28)) ),""), "")</f>
        <v/>
      </c>
      <c r="Q26" s="56" t="str">
        <f>IFERROR(VLOOKUP(P26,'SA PRE-APPROVAL FSMC CHECKLIST'!$B:$H,9,0),"")</f>
        <v/>
      </c>
      <c r="R26" s="63"/>
      <c r="S26" s="63"/>
      <c r="T26" s="64"/>
      <c r="U26" s="56" t="str">
        <f t="array" ref="U26">IFERROR(IF($U$2 &lt;&gt; "", INDEX('SA PRE-APPROVAL FSMC CHECKLIST'!$B$6:$B$45,  SMALL( IF( 'SA PRE-APPROVAL FSMC CHECKLIST'!$D$6:$H$45 = $U$2, ROW('SA PRE-APPROVAL FSMC CHECKLIST'!$B$6:$B$45)-ROW('SA PRE-APPROVAL FSMC CHECKLIST'!$B$6)+1 ),  ROWS('SA PRE-APPROVAL FSMC CHECKLIST'!$B$6:$B28)) ),""), "")</f>
        <v/>
      </c>
      <c r="V26" s="56" t="str">
        <f>IFERROR(VLOOKUP(U26,'SA PRE-APPROVAL FSMC CHECKLIST'!$B:$H,9,0),"")</f>
        <v/>
      </c>
      <c r="W26" s="63"/>
      <c r="X26" s="63"/>
      <c r="Y26" s="64"/>
      <c r="Z26" s="56" t="str">
        <f t="array" ref="Z26">IFERROR(IF($Z$2 &lt;&gt; "", INDEX('SA PRE-APPROVAL FSMC CHECKLIST'!$B$6:$B$45,  SMALL( IF( 'SA PRE-APPROVAL FSMC CHECKLIST'!$D$6:$H$45 = $Z$2, ROW('SA PRE-APPROVAL FSMC CHECKLIST'!$B$6:$B$45)-ROW('SA PRE-APPROVAL FSMC CHECKLIST'!$B$6)+1 ),  ROWS('SA PRE-APPROVAL FSMC CHECKLIST'!$B$6:$B28)) ),""), "")</f>
        <v/>
      </c>
      <c r="AA26" s="56" t="str">
        <f>IFERROR(VLOOKUP(Z26,'SA PRE-APPROVAL FSMC CHECKLIST'!$B:$H,9,0),"")</f>
        <v/>
      </c>
      <c r="AB26" s="63"/>
      <c r="AC26" s="63"/>
      <c r="AD26" s="64"/>
      <c r="AE26" s="65"/>
      <c r="AF26" s="65"/>
      <c r="AG26" s="65"/>
      <c r="AH26" s="65"/>
      <c r="AI26" s="65"/>
      <c r="AJ26" s="65"/>
      <c r="AK26" s="65"/>
      <c r="AL26" s="65"/>
    </row>
    <row r="27" spans="1:38" s="66" customFormat="1" ht="63" x14ac:dyDescent="0.25">
      <c r="A27" s="56" t="str">
        <f t="array" ref="A27">IFERROR(IF($A$2 &lt;&gt; "", INDEX('SA PRE-APPROVAL FSMC CHECKLIST'!$B$6:$B$45,  SMALL( IF( 'SA PRE-APPROVAL FSMC CHECKLIST'!$D$6:$H$45 = $A$2, ROW('SA PRE-APPROVAL FSMC CHECKLIST'!$B$6:$B$45)-ROW('SA PRE-APPROVAL FSMC CHECKLIST'!$B$6)+1 ),  ROWS('SA PRE-APPROVAL FSMC CHECKLIST'!$B$6:$B29)) ),""), "")</f>
        <v xml:space="preserve">   c) Retain control of the quality, extent, and general nature of its food service, and the prices to be charged the children for meals?  [7 CFR 210.16(a)(4)]</v>
      </c>
      <c r="B27" s="56" t="str">
        <f>IFERROR(VLOOKUP(A27,'SA PRE-APPROVAL FSMC CHECKLIST'!$B:$H,9,0),"")</f>
        <v/>
      </c>
      <c r="C27" s="63"/>
      <c r="D27" s="63"/>
      <c r="E27" s="64"/>
      <c r="F27" s="56" t="str">
        <f t="array" ref="F27">IFERROR(IF($F$2 &lt;&gt; "", INDEX('SA PRE-APPROVAL FSMC CHECKLIST'!$B$6:$B$45,  SMALL( IF( 'SA PRE-APPROVAL FSMC CHECKLIST'!$D$6:$H$45 = $F$2, ROW('SA PRE-APPROVAL FSMC CHECKLIST'!$B$6:$B$45)-ROW('SA PRE-APPROVAL FSMC CHECKLIST'!$B$6)+1 ),  ROWS('SA PRE-APPROVAL FSMC CHECKLIST'!$B$6:$B29)) ),""), "")</f>
        <v/>
      </c>
      <c r="G27" s="56" t="str">
        <f>IFERROR(VLOOKUP(F27,'SA PRE-APPROVAL FSMC CHECKLIST'!$B:$H,9,0),"")</f>
        <v/>
      </c>
      <c r="H27" s="63"/>
      <c r="I27" s="63"/>
      <c r="J27" s="64"/>
      <c r="K27" s="56" t="str">
        <f t="array" ref="K27">IFERROR(IF($K$2 &lt;&gt; "", INDEX('SA PRE-APPROVAL FSMC CHECKLIST'!$B$6:$B$45,  SMALL( IF( 'SA PRE-APPROVAL FSMC CHECKLIST'!$D$6:$H$45 = $K$2, ROW('SA PRE-APPROVAL FSMC CHECKLIST'!$B$6:$B$45)-ROW('SA PRE-APPROVAL FSMC CHECKLIST'!$B$6)+1 ),  ROWS('SA PRE-APPROVAL FSMC CHECKLIST'!$B$6:$B29)) ),""), "")</f>
        <v/>
      </c>
      <c r="L27" s="56" t="str">
        <f>IFERROR(VLOOKUP(K27,'SA PRE-APPROVAL FSMC CHECKLIST'!$B:$H,9,0),"")</f>
        <v/>
      </c>
      <c r="M27" s="63"/>
      <c r="N27" s="63"/>
      <c r="O27" s="64"/>
      <c r="P27" s="56" t="str">
        <f t="array" ref="P27">IFERROR(IF($P$2 &lt;&gt; "", INDEX('SA PRE-APPROVAL FSMC CHECKLIST'!$B$6:$B$45,  SMALL( IF( 'SA PRE-APPROVAL FSMC CHECKLIST'!$D$6:$H$45 = $P$2, ROW('SA PRE-APPROVAL FSMC CHECKLIST'!$B$6:$B$45)-ROW('SA PRE-APPROVAL FSMC CHECKLIST'!$B$6)+1 ),  ROWS('SA PRE-APPROVAL FSMC CHECKLIST'!$B$6:$B29)) ),""), "")</f>
        <v/>
      </c>
      <c r="Q27" s="56" t="str">
        <f>IFERROR(VLOOKUP(P27,'SA PRE-APPROVAL FSMC CHECKLIST'!$B:$H,9,0),"")</f>
        <v/>
      </c>
      <c r="R27" s="63"/>
      <c r="S27" s="63"/>
      <c r="T27" s="64"/>
      <c r="U27" s="56" t="str">
        <f t="array" ref="U27">IFERROR(IF($U$2 &lt;&gt; "", INDEX('SA PRE-APPROVAL FSMC CHECKLIST'!$B$6:$B$45,  SMALL( IF( 'SA PRE-APPROVAL FSMC CHECKLIST'!$D$6:$H$45 = $U$2, ROW('SA PRE-APPROVAL FSMC CHECKLIST'!$B$6:$B$45)-ROW('SA PRE-APPROVAL FSMC CHECKLIST'!$B$6)+1 ),  ROWS('SA PRE-APPROVAL FSMC CHECKLIST'!$B$6:$B29)) ),""), "")</f>
        <v/>
      </c>
      <c r="V27" s="56" t="str">
        <f>IFERROR(VLOOKUP(U27,'SA PRE-APPROVAL FSMC CHECKLIST'!$B:$H,9,0),"")</f>
        <v/>
      </c>
      <c r="W27" s="63"/>
      <c r="X27" s="63"/>
      <c r="Y27" s="64"/>
      <c r="Z27" s="56" t="str">
        <f t="array" ref="Z27">IFERROR(IF($Z$2 &lt;&gt; "", INDEX('SA PRE-APPROVAL FSMC CHECKLIST'!$B$6:$B$45,  SMALL( IF( 'SA PRE-APPROVAL FSMC CHECKLIST'!$D$6:$H$45 = $Z$2, ROW('SA PRE-APPROVAL FSMC CHECKLIST'!$B$6:$B$45)-ROW('SA PRE-APPROVAL FSMC CHECKLIST'!$B$6)+1 ),  ROWS('SA PRE-APPROVAL FSMC CHECKLIST'!$B$6:$B29)) ),""), "")</f>
        <v/>
      </c>
      <c r="AA27" s="56" t="str">
        <f>IFERROR(VLOOKUP(Z27,'SA PRE-APPROVAL FSMC CHECKLIST'!$B:$H,9,0),"")</f>
        <v/>
      </c>
      <c r="AB27" s="63"/>
      <c r="AC27" s="63"/>
      <c r="AD27" s="64"/>
      <c r="AE27" s="65"/>
      <c r="AF27" s="65"/>
      <c r="AG27" s="65"/>
      <c r="AH27" s="65"/>
      <c r="AI27" s="65"/>
      <c r="AJ27" s="65"/>
      <c r="AK27" s="65"/>
      <c r="AL27" s="65"/>
    </row>
    <row r="28" spans="1:38" s="66" customFormat="1" ht="63" x14ac:dyDescent="0.25">
      <c r="A28" s="56" t="str">
        <f t="array" ref="A28">IFERROR(IF($A$2 &lt;&gt; "", INDEX('SA PRE-APPROVAL FSMC CHECKLIST'!$B$6:$B$45,  SMALL( IF( 'SA PRE-APPROVAL FSMC CHECKLIST'!$D$6:$H$45 = $A$2, ROW('SA PRE-APPROVAL FSMC CHECKLIST'!$B$6:$B$45)-ROW('SA PRE-APPROVAL FSMC CHECKLIST'!$B$6)+1 ),  ROWS('SA PRE-APPROVAL FSMC CHECKLIST'!$B$6:$B30)) ),""), "")</f>
        <v xml:space="preserve">   d) Retain signature authority on the State agency-SFA agreement, free and reduced price policy statement and claims?  [7 CFR 210.16(a)(5)]</v>
      </c>
      <c r="B28" s="56" t="str">
        <f>IFERROR(VLOOKUP(A28,'SA PRE-APPROVAL FSMC CHECKLIST'!$B:$H,9,0),"")</f>
        <v/>
      </c>
      <c r="C28" s="63"/>
      <c r="D28" s="63"/>
      <c r="E28" s="64"/>
      <c r="F28" s="56" t="str">
        <f t="array" ref="F28">IFERROR(IF($F$2 &lt;&gt; "", INDEX('SA PRE-APPROVAL FSMC CHECKLIST'!$B$6:$B$45,  SMALL( IF( 'SA PRE-APPROVAL FSMC CHECKLIST'!$D$6:$H$45 = $F$2, ROW('SA PRE-APPROVAL FSMC CHECKLIST'!$B$6:$B$45)-ROW('SA PRE-APPROVAL FSMC CHECKLIST'!$B$6)+1 ),  ROWS('SA PRE-APPROVAL FSMC CHECKLIST'!$B$6:$B30)) ),""), "")</f>
        <v/>
      </c>
      <c r="G28" s="56" t="str">
        <f>IFERROR(VLOOKUP(F28,'SA PRE-APPROVAL FSMC CHECKLIST'!$B:$H,9,0),"")</f>
        <v/>
      </c>
      <c r="H28" s="63"/>
      <c r="I28" s="63"/>
      <c r="J28" s="64"/>
      <c r="K28" s="56" t="str">
        <f t="array" ref="K28">IFERROR(IF($K$2 &lt;&gt; "", INDEX('SA PRE-APPROVAL FSMC CHECKLIST'!$B$6:$B$45,  SMALL( IF( 'SA PRE-APPROVAL FSMC CHECKLIST'!$D$6:$H$45 = $K$2, ROW('SA PRE-APPROVAL FSMC CHECKLIST'!$B$6:$B$45)-ROW('SA PRE-APPROVAL FSMC CHECKLIST'!$B$6)+1 ),  ROWS('SA PRE-APPROVAL FSMC CHECKLIST'!$B$6:$B30)) ),""), "")</f>
        <v/>
      </c>
      <c r="L28" s="56" t="str">
        <f>IFERROR(VLOOKUP(K28,'SA PRE-APPROVAL FSMC CHECKLIST'!$B:$H,9,0),"")</f>
        <v/>
      </c>
      <c r="M28" s="63"/>
      <c r="N28" s="63"/>
      <c r="O28" s="64"/>
      <c r="P28" s="56" t="str">
        <f t="array" ref="P28">IFERROR(IF($P$2 &lt;&gt; "", INDEX('SA PRE-APPROVAL FSMC CHECKLIST'!$B$6:$B$45,  SMALL( IF( 'SA PRE-APPROVAL FSMC CHECKLIST'!$D$6:$H$45 = $P$2, ROW('SA PRE-APPROVAL FSMC CHECKLIST'!$B$6:$B$45)-ROW('SA PRE-APPROVAL FSMC CHECKLIST'!$B$6)+1 ),  ROWS('SA PRE-APPROVAL FSMC CHECKLIST'!$B$6:$B30)) ),""), "")</f>
        <v/>
      </c>
      <c r="Q28" s="56" t="str">
        <f>IFERROR(VLOOKUP(P28,'SA PRE-APPROVAL FSMC CHECKLIST'!$B:$H,9,0),"")</f>
        <v/>
      </c>
      <c r="R28" s="63"/>
      <c r="S28" s="63"/>
      <c r="T28" s="64"/>
      <c r="U28" s="56" t="str">
        <f t="array" ref="U28">IFERROR(IF($U$2 &lt;&gt; "", INDEX('SA PRE-APPROVAL FSMC CHECKLIST'!$B$6:$B$45,  SMALL( IF( 'SA PRE-APPROVAL FSMC CHECKLIST'!$D$6:$H$45 = $U$2, ROW('SA PRE-APPROVAL FSMC CHECKLIST'!$B$6:$B$45)-ROW('SA PRE-APPROVAL FSMC CHECKLIST'!$B$6)+1 ),  ROWS('SA PRE-APPROVAL FSMC CHECKLIST'!$B$6:$B30)) ),""), "")</f>
        <v/>
      </c>
      <c r="V28" s="56" t="str">
        <f>IFERROR(VLOOKUP(U28,'SA PRE-APPROVAL FSMC CHECKLIST'!$B:$H,9,0),"")</f>
        <v/>
      </c>
      <c r="W28" s="63"/>
      <c r="X28" s="63"/>
      <c r="Y28" s="64"/>
      <c r="Z28" s="56" t="str">
        <f t="array" ref="Z28">IFERROR(IF($Z$2 &lt;&gt; "", INDEX('SA PRE-APPROVAL FSMC CHECKLIST'!$B$6:$B$45,  SMALL( IF( 'SA PRE-APPROVAL FSMC CHECKLIST'!$D$6:$H$45 = $Z$2, ROW('SA PRE-APPROVAL FSMC CHECKLIST'!$B$6:$B$45)-ROW('SA PRE-APPROVAL FSMC CHECKLIST'!$B$6)+1 ),  ROWS('SA PRE-APPROVAL FSMC CHECKLIST'!$B$6:$B30)) ),""), "")</f>
        <v/>
      </c>
      <c r="AA28" s="56" t="str">
        <f>IFERROR(VLOOKUP(Z28,'SA PRE-APPROVAL FSMC CHECKLIST'!$B:$H,9,0),"")</f>
        <v/>
      </c>
      <c r="AB28" s="63"/>
      <c r="AC28" s="63"/>
      <c r="AD28" s="64"/>
      <c r="AE28" s="65"/>
      <c r="AF28" s="65"/>
      <c r="AG28" s="65"/>
      <c r="AH28" s="65"/>
      <c r="AI28" s="65"/>
      <c r="AJ28" s="65"/>
      <c r="AK28" s="65"/>
      <c r="AL28" s="65"/>
    </row>
    <row r="29" spans="1:38" s="66" customFormat="1" ht="63" x14ac:dyDescent="0.25">
      <c r="A29" s="56" t="str">
        <f t="array" ref="A29">IFERROR(IF($A$2 &lt;&gt; "", INDEX('SA PRE-APPROVAL FSMC CHECKLIST'!$B$6:$B$45,  SMALL( IF( 'SA PRE-APPROVAL FSMC CHECKLIST'!$D$6:$H$45 = $A$2, ROW('SA PRE-APPROVAL FSMC CHECKLIST'!$B$6:$B$45)-ROW('SA PRE-APPROVAL FSMC CHECKLIST'!$B$6)+1 ),  ROWS('SA PRE-APPROVAL FSMC CHECKLIST'!$B$6:$B31)) ),""), "")</f>
        <v xml:space="preserve">   d) Retain signature authority on the State agency-SFA agreement, free and reduced price policy statement and claims?  [7 CFR 210.16(a)(5)]</v>
      </c>
      <c r="B29" s="56" t="str">
        <f>IFERROR(VLOOKUP(A29,'SA PRE-APPROVAL FSMC CHECKLIST'!$B:$H,9,0),"")</f>
        <v/>
      </c>
      <c r="C29" s="63"/>
      <c r="D29" s="63"/>
      <c r="E29" s="64"/>
      <c r="F29" s="56" t="str">
        <f t="array" ref="F29">IFERROR(IF($F$2 &lt;&gt; "", INDEX('SA PRE-APPROVAL FSMC CHECKLIST'!$B$6:$B$45,  SMALL( IF( 'SA PRE-APPROVAL FSMC CHECKLIST'!$D$6:$H$45 = $F$2, ROW('SA PRE-APPROVAL FSMC CHECKLIST'!$B$6:$B$45)-ROW('SA PRE-APPROVAL FSMC CHECKLIST'!$B$6)+1 ),  ROWS('SA PRE-APPROVAL FSMC CHECKLIST'!$B$6:$B31)) ),""), "")</f>
        <v/>
      </c>
      <c r="G29" s="56" t="str">
        <f>IFERROR(VLOOKUP(F29,'SA PRE-APPROVAL FSMC CHECKLIST'!$B:$H,9,0),"")</f>
        <v/>
      </c>
      <c r="H29" s="63"/>
      <c r="I29" s="63"/>
      <c r="J29" s="64"/>
      <c r="K29" s="56" t="str">
        <f t="array" ref="K29">IFERROR(IF($K$2 &lt;&gt; "", INDEX('SA PRE-APPROVAL FSMC CHECKLIST'!$B$6:$B$45,  SMALL( IF( 'SA PRE-APPROVAL FSMC CHECKLIST'!$D$6:$H$45 = $K$2, ROW('SA PRE-APPROVAL FSMC CHECKLIST'!$B$6:$B$45)-ROW('SA PRE-APPROVAL FSMC CHECKLIST'!$B$6)+1 ),  ROWS('SA PRE-APPROVAL FSMC CHECKLIST'!$B$6:$B31)) ),""), "")</f>
        <v/>
      </c>
      <c r="L29" s="56" t="str">
        <f>IFERROR(VLOOKUP(K29,'SA PRE-APPROVAL FSMC CHECKLIST'!$B:$H,9,0),"")</f>
        <v/>
      </c>
      <c r="M29" s="63"/>
      <c r="N29" s="63"/>
      <c r="O29" s="64"/>
      <c r="P29" s="56" t="str">
        <f t="array" ref="P29">IFERROR(IF($P$2 &lt;&gt; "", INDEX('SA PRE-APPROVAL FSMC CHECKLIST'!$B$6:$B$45,  SMALL( IF( 'SA PRE-APPROVAL FSMC CHECKLIST'!$D$6:$H$45 = $P$2, ROW('SA PRE-APPROVAL FSMC CHECKLIST'!$B$6:$B$45)-ROW('SA PRE-APPROVAL FSMC CHECKLIST'!$B$6)+1 ),  ROWS('SA PRE-APPROVAL FSMC CHECKLIST'!$B$6:$B31)) ),""), "")</f>
        <v/>
      </c>
      <c r="Q29" s="56" t="str">
        <f>IFERROR(VLOOKUP(P29,'SA PRE-APPROVAL FSMC CHECKLIST'!$B:$H,9,0),"")</f>
        <v/>
      </c>
      <c r="R29" s="63"/>
      <c r="S29" s="63"/>
      <c r="T29" s="64"/>
      <c r="U29" s="56" t="str">
        <f t="array" ref="U29">IFERROR(IF($U$2 &lt;&gt; "", INDEX('SA PRE-APPROVAL FSMC CHECKLIST'!$B$6:$B$45,  SMALL( IF( 'SA PRE-APPROVAL FSMC CHECKLIST'!$D$6:$H$45 = $U$2, ROW('SA PRE-APPROVAL FSMC CHECKLIST'!$B$6:$B$45)-ROW('SA PRE-APPROVAL FSMC CHECKLIST'!$B$6)+1 ),  ROWS('SA PRE-APPROVAL FSMC CHECKLIST'!$B$6:$B31)) ),""), "")</f>
        <v/>
      </c>
      <c r="V29" s="56" t="str">
        <f>IFERROR(VLOOKUP(U29,'SA PRE-APPROVAL FSMC CHECKLIST'!$B:$H,9,0),"")</f>
        <v/>
      </c>
      <c r="W29" s="63"/>
      <c r="X29" s="63"/>
      <c r="Y29" s="64"/>
      <c r="Z29" s="56" t="str">
        <f t="array" ref="Z29">IFERROR(IF($Z$2 &lt;&gt; "", INDEX('SA PRE-APPROVAL FSMC CHECKLIST'!$B$6:$B$45,  SMALL( IF( 'SA PRE-APPROVAL FSMC CHECKLIST'!$D$6:$H$45 = $Z$2, ROW('SA PRE-APPROVAL FSMC CHECKLIST'!$B$6:$B$45)-ROW('SA PRE-APPROVAL FSMC CHECKLIST'!$B$6)+1 ),  ROWS('SA PRE-APPROVAL FSMC CHECKLIST'!$B$6:$B31)) ),""), "")</f>
        <v/>
      </c>
      <c r="AA29" s="56" t="str">
        <f>IFERROR(VLOOKUP(Z29,'SA PRE-APPROVAL FSMC CHECKLIST'!$B:$H,9,0),"")</f>
        <v/>
      </c>
      <c r="AB29" s="63"/>
      <c r="AC29" s="63"/>
      <c r="AD29" s="64"/>
      <c r="AE29" s="65"/>
      <c r="AF29" s="65"/>
      <c r="AG29" s="65"/>
      <c r="AH29" s="65"/>
      <c r="AI29" s="65"/>
      <c r="AJ29" s="65"/>
      <c r="AK29" s="65"/>
      <c r="AL29" s="65"/>
    </row>
    <row r="30" spans="1:38" s="66" customFormat="1" ht="63" x14ac:dyDescent="0.25">
      <c r="A30" s="56" t="str">
        <f t="array" ref="A30">IFERROR(IF($A$2 &lt;&gt; "", INDEX('SA PRE-APPROVAL FSMC CHECKLIST'!$B$6:$B$45,  SMALL( IF( 'SA PRE-APPROVAL FSMC CHECKLIST'!$D$6:$H$45 = $A$2, ROW('SA PRE-APPROVAL FSMC CHECKLIST'!$B$6:$B$45)-ROW('SA PRE-APPROVAL FSMC CHECKLIST'!$B$6)+1 ),  ROWS('SA PRE-APPROVAL FSMC CHECKLIST'!$B$6:$B32)) ),""), "")</f>
        <v xml:space="preserve">   d) Retain signature authority on the State agency-SFA agreement, free and reduced price policy statement and claims?  [7 CFR 210.16(a)(5)]</v>
      </c>
      <c r="B30" s="56" t="str">
        <f>IFERROR(VLOOKUP(A30,'SA PRE-APPROVAL FSMC CHECKLIST'!$B:$H,9,0),"")</f>
        <v/>
      </c>
      <c r="C30" s="63"/>
      <c r="D30" s="63"/>
      <c r="E30" s="64"/>
      <c r="F30" s="56" t="str">
        <f t="array" ref="F30">IFERROR(IF($F$2 &lt;&gt; "", INDEX('SA PRE-APPROVAL FSMC CHECKLIST'!$B$6:$B$45,  SMALL( IF( 'SA PRE-APPROVAL FSMC CHECKLIST'!$D$6:$H$45 = $F$2, ROW('SA PRE-APPROVAL FSMC CHECKLIST'!$B$6:$B$45)-ROW('SA PRE-APPROVAL FSMC CHECKLIST'!$B$6)+1 ),  ROWS('SA PRE-APPROVAL FSMC CHECKLIST'!$B$6:$B32)) ),""), "")</f>
        <v/>
      </c>
      <c r="G30" s="56" t="str">
        <f>IFERROR(VLOOKUP(F30,'SA PRE-APPROVAL FSMC CHECKLIST'!$B:$H,9,0),"")</f>
        <v/>
      </c>
      <c r="H30" s="63"/>
      <c r="I30" s="63"/>
      <c r="J30" s="64"/>
      <c r="K30" s="56" t="str">
        <f t="array" ref="K30">IFERROR(IF($K$2 &lt;&gt; "", INDEX('SA PRE-APPROVAL FSMC CHECKLIST'!$B$6:$B$45,  SMALL( IF( 'SA PRE-APPROVAL FSMC CHECKLIST'!$D$6:$H$45 = $K$2, ROW('SA PRE-APPROVAL FSMC CHECKLIST'!$B$6:$B$45)-ROW('SA PRE-APPROVAL FSMC CHECKLIST'!$B$6)+1 ),  ROWS('SA PRE-APPROVAL FSMC CHECKLIST'!$B$6:$B32)) ),""), "")</f>
        <v/>
      </c>
      <c r="L30" s="56" t="str">
        <f>IFERROR(VLOOKUP(K30,'SA PRE-APPROVAL FSMC CHECKLIST'!$B:$H,9,0),"")</f>
        <v/>
      </c>
      <c r="M30" s="63"/>
      <c r="N30" s="63"/>
      <c r="O30" s="64"/>
      <c r="P30" s="56" t="str">
        <f t="array" ref="P30">IFERROR(IF($P$2 &lt;&gt; "", INDEX('SA PRE-APPROVAL FSMC CHECKLIST'!$B$6:$B$45,  SMALL( IF( 'SA PRE-APPROVAL FSMC CHECKLIST'!$D$6:$H$45 = $P$2, ROW('SA PRE-APPROVAL FSMC CHECKLIST'!$B$6:$B$45)-ROW('SA PRE-APPROVAL FSMC CHECKLIST'!$B$6)+1 ),  ROWS('SA PRE-APPROVAL FSMC CHECKLIST'!$B$6:$B32)) ),""), "")</f>
        <v/>
      </c>
      <c r="Q30" s="56" t="str">
        <f>IFERROR(VLOOKUP(P30,'SA PRE-APPROVAL FSMC CHECKLIST'!$B:$H,9,0),"")</f>
        <v/>
      </c>
      <c r="R30" s="63"/>
      <c r="S30" s="63"/>
      <c r="T30" s="64"/>
      <c r="U30" s="56" t="str">
        <f t="array" ref="U30">IFERROR(IF($U$2 &lt;&gt; "", INDEX('SA PRE-APPROVAL FSMC CHECKLIST'!$B$6:$B$45,  SMALL( IF( 'SA PRE-APPROVAL FSMC CHECKLIST'!$D$6:$H$45 = $U$2, ROW('SA PRE-APPROVAL FSMC CHECKLIST'!$B$6:$B$45)-ROW('SA PRE-APPROVAL FSMC CHECKLIST'!$B$6)+1 ),  ROWS('SA PRE-APPROVAL FSMC CHECKLIST'!$B$6:$B32)) ),""), "")</f>
        <v/>
      </c>
      <c r="V30" s="56" t="str">
        <f>IFERROR(VLOOKUP(U30,'SA PRE-APPROVAL FSMC CHECKLIST'!$B:$H,9,0),"")</f>
        <v/>
      </c>
      <c r="W30" s="63"/>
      <c r="X30" s="63"/>
      <c r="Y30" s="64"/>
      <c r="Z30" s="56" t="str">
        <f t="array" ref="Z30">IFERROR(IF($Z$2 &lt;&gt; "", INDEX('SA PRE-APPROVAL FSMC CHECKLIST'!$B$6:$B$45,  SMALL( IF( 'SA PRE-APPROVAL FSMC CHECKLIST'!$D$6:$H$45 = $Z$2, ROW('SA PRE-APPROVAL FSMC CHECKLIST'!$B$6:$B$45)-ROW('SA PRE-APPROVAL FSMC CHECKLIST'!$B$6)+1 ),  ROWS('SA PRE-APPROVAL FSMC CHECKLIST'!$B$6:$B32)) ),""), "")</f>
        <v/>
      </c>
      <c r="AA30" s="56" t="str">
        <f>IFERROR(VLOOKUP(Z30,'SA PRE-APPROVAL FSMC CHECKLIST'!$B:$H,9,0),"")</f>
        <v/>
      </c>
      <c r="AB30" s="63"/>
      <c r="AC30" s="63"/>
      <c r="AD30" s="64"/>
      <c r="AE30" s="65"/>
      <c r="AF30" s="65"/>
      <c r="AG30" s="65"/>
      <c r="AH30" s="65"/>
      <c r="AI30" s="65"/>
      <c r="AJ30" s="65"/>
      <c r="AK30" s="65"/>
      <c r="AL30" s="65"/>
    </row>
    <row r="31" spans="1:38" s="66" customFormat="1" ht="63" x14ac:dyDescent="0.25">
      <c r="A31" s="56" t="str">
        <f t="array" ref="A31">IFERROR(IF($A$2 &lt;&gt; "", INDEX('SA PRE-APPROVAL FSMC CHECKLIST'!$B$6:$B$45,  SMALL( IF( 'SA PRE-APPROVAL FSMC CHECKLIST'!$D$6:$H$45 = $A$2, ROW('SA PRE-APPROVAL FSMC CHECKLIST'!$B$6:$B$45)-ROW('SA PRE-APPROVAL FSMC CHECKLIST'!$B$6)+1 ),  ROWS('SA PRE-APPROVAL FSMC CHECKLIST'!$B$6:$B33)) ),""), "")</f>
        <v xml:space="preserve">   d) Retain signature authority on the State agency-SFA agreement, free and reduced price policy statement and claims?  [7 CFR 210.16(a)(5)]</v>
      </c>
      <c r="B31" s="56" t="str">
        <f>IFERROR(VLOOKUP(A31,'SA PRE-APPROVAL FSMC CHECKLIST'!$B:$H,9,0),"")</f>
        <v/>
      </c>
      <c r="C31" s="63"/>
      <c r="D31" s="63"/>
      <c r="E31" s="64"/>
      <c r="F31" s="56" t="str">
        <f t="array" ref="F31">IFERROR(IF($F$2 &lt;&gt; "", INDEX('SA PRE-APPROVAL FSMC CHECKLIST'!$B$6:$B$45,  SMALL( IF( 'SA PRE-APPROVAL FSMC CHECKLIST'!$D$6:$H$45 = $F$2, ROW('SA PRE-APPROVAL FSMC CHECKLIST'!$B$6:$B$45)-ROW('SA PRE-APPROVAL FSMC CHECKLIST'!$B$6)+1 ),  ROWS('SA PRE-APPROVAL FSMC CHECKLIST'!$B$6:$B33)) ),""), "")</f>
        <v/>
      </c>
      <c r="G31" s="56" t="str">
        <f>IFERROR(VLOOKUP(F31,'SA PRE-APPROVAL FSMC CHECKLIST'!$B:$H,9,0),"")</f>
        <v/>
      </c>
      <c r="H31" s="63"/>
      <c r="I31" s="63"/>
      <c r="J31" s="64"/>
      <c r="K31" s="56" t="str">
        <f t="array" ref="K31">IFERROR(IF($K$2 &lt;&gt; "", INDEX('SA PRE-APPROVAL FSMC CHECKLIST'!$B$6:$B$45,  SMALL( IF( 'SA PRE-APPROVAL FSMC CHECKLIST'!$D$6:$H$45 = $K$2, ROW('SA PRE-APPROVAL FSMC CHECKLIST'!$B$6:$B$45)-ROW('SA PRE-APPROVAL FSMC CHECKLIST'!$B$6)+1 ),  ROWS('SA PRE-APPROVAL FSMC CHECKLIST'!$B$6:$B33)) ),""), "")</f>
        <v/>
      </c>
      <c r="L31" s="56" t="str">
        <f>IFERROR(VLOOKUP(K31,'SA PRE-APPROVAL FSMC CHECKLIST'!$B:$H,9,0),"")</f>
        <v/>
      </c>
      <c r="M31" s="63"/>
      <c r="N31" s="63"/>
      <c r="O31" s="64"/>
      <c r="P31" s="56" t="str">
        <f t="array" ref="P31">IFERROR(IF($P$2 &lt;&gt; "", INDEX('SA PRE-APPROVAL FSMC CHECKLIST'!$B$6:$B$45,  SMALL( IF( 'SA PRE-APPROVAL FSMC CHECKLIST'!$D$6:$H$45 = $P$2, ROW('SA PRE-APPROVAL FSMC CHECKLIST'!$B$6:$B$45)-ROW('SA PRE-APPROVAL FSMC CHECKLIST'!$B$6)+1 ),  ROWS('SA PRE-APPROVAL FSMC CHECKLIST'!$B$6:$B33)) ),""), "")</f>
        <v/>
      </c>
      <c r="Q31" s="56" t="str">
        <f>IFERROR(VLOOKUP(P31,'SA PRE-APPROVAL FSMC CHECKLIST'!$B:$H,9,0),"")</f>
        <v/>
      </c>
      <c r="R31" s="63"/>
      <c r="S31" s="63"/>
      <c r="T31" s="64"/>
      <c r="U31" s="56" t="str">
        <f t="array" ref="U31">IFERROR(IF($U$2 &lt;&gt; "", INDEX('SA PRE-APPROVAL FSMC CHECKLIST'!$B$6:$B$45,  SMALL( IF( 'SA PRE-APPROVAL FSMC CHECKLIST'!$D$6:$H$45 = $U$2, ROW('SA PRE-APPROVAL FSMC CHECKLIST'!$B$6:$B$45)-ROW('SA PRE-APPROVAL FSMC CHECKLIST'!$B$6)+1 ),  ROWS('SA PRE-APPROVAL FSMC CHECKLIST'!$B$6:$B33)) ),""), "")</f>
        <v/>
      </c>
      <c r="V31" s="56" t="str">
        <f>IFERROR(VLOOKUP(U31,'SA PRE-APPROVAL FSMC CHECKLIST'!$B:$H,9,0),"")</f>
        <v/>
      </c>
      <c r="W31" s="63"/>
      <c r="X31" s="63"/>
      <c r="Y31" s="64"/>
      <c r="Z31" s="56" t="str">
        <f t="array" ref="Z31">IFERROR(IF($Z$2 &lt;&gt; "", INDEX('SA PRE-APPROVAL FSMC CHECKLIST'!$B$6:$B$45,  SMALL( IF( 'SA PRE-APPROVAL FSMC CHECKLIST'!$D$6:$H$45 = $Z$2, ROW('SA PRE-APPROVAL FSMC CHECKLIST'!$B$6:$B$45)-ROW('SA PRE-APPROVAL FSMC CHECKLIST'!$B$6)+1 ),  ROWS('SA PRE-APPROVAL FSMC CHECKLIST'!$B$6:$B33)) ),""), "")</f>
        <v/>
      </c>
      <c r="AA31" s="56" t="str">
        <f>IFERROR(VLOOKUP(Z31,'SA PRE-APPROVAL FSMC CHECKLIST'!$B:$H,9,0),"")</f>
        <v/>
      </c>
      <c r="AB31" s="63"/>
      <c r="AC31" s="63"/>
      <c r="AD31" s="64"/>
      <c r="AE31" s="65"/>
      <c r="AF31" s="65"/>
      <c r="AG31" s="65"/>
      <c r="AH31" s="65"/>
      <c r="AI31" s="65"/>
      <c r="AJ31" s="65"/>
      <c r="AK31" s="65"/>
      <c r="AL31" s="65"/>
    </row>
    <row r="32" spans="1:38" s="66" customFormat="1" ht="63" x14ac:dyDescent="0.25">
      <c r="A32" s="56" t="str">
        <f t="array" ref="A32">IFERROR(IF($A$2 &lt;&gt; "", INDEX('SA PRE-APPROVAL FSMC CHECKLIST'!$B$6:$B$45,  SMALL( IF( 'SA PRE-APPROVAL FSMC CHECKLIST'!$D$6:$H$45 = $A$2, ROW('SA PRE-APPROVAL FSMC CHECKLIST'!$B$6:$B$45)-ROW('SA PRE-APPROVAL FSMC CHECKLIST'!$B$6)+1 ),  ROWS('SA PRE-APPROVAL FSMC CHECKLIST'!$B$6:$B34)) ),""), "")</f>
        <v xml:space="preserve">   d) Retain signature authority on the State agency-SFA agreement, free and reduced price policy statement and claims?  [7 CFR 210.16(a)(5)]</v>
      </c>
      <c r="B32" s="56" t="str">
        <f>IFERROR(VLOOKUP(A32,'SA PRE-APPROVAL FSMC CHECKLIST'!$B:$H,9,0),"")</f>
        <v/>
      </c>
      <c r="C32" s="63"/>
      <c r="D32" s="63"/>
      <c r="E32" s="64"/>
      <c r="F32" s="56" t="str">
        <f t="array" ref="F32">IFERROR(IF($F$2 &lt;&gt; "", INDEX('SA PRE-APPROVAL FSMC CHECKLIST'!$B$6:$B$45,  SMALL( IF( 'SA PRE-APPROVAL FSMC CHECKLIST'!$D$6:$H$45 = $F$2, ROW('SA PRE-APPROVAL FSMC CHECKLIST'!$B$6:$B$45)-ROW('SA PRE-APPROVAL FSMC CHECKLIST'!$B$6)+1 ),  ROWS('SA PRE-APPROVAL FSMC CHECKLIST'!$B$6:$B34)) ),""), "")</f>
        <v/>
      </c>
      <c r="G32" s="56" t="str">
        <f>IFERROR(VLOOKUP(F32,'SA PRE-APPROVAL FSMC CHECKLIST'!$B:$H,9,0),"")</f>
        <v/>
      </c>
      <c r="H32" s="63"/>
      <c r="I32" s="63"/>
      <c r="J32" s="64"/>
      <c r="K32" s="56" t="str">
        <f t="array" ref="K32">IFERROR(IF($K$2 &lt;&gt; "", INDEX('SA PRE-APPROVAL FSMC CHECKLIST'!$B$6:$B$45,  SMALL( IF( 'SA PRE-APPROVAL FSMC CHECKLIST'!$D$6:$H$45 = $K$2, ROW('SA PRE-APPROVAL FSMC CHECKLIST'!$B$6:$B$45)-ROW('SA PRE-APPROVAL FSMC CHECKLIST'!$B$6)+1 ),  ROWS('SA PRE-APPROVAL FSMC CHECKLIST'!$B$6:$B34)) ),""), "")</f>
        <v/>
      </c>
      <c r="L32" s="56" t="str">
        <f>IFERROR(VLOOKUP(K32,'SA PRE-APPROVAL FSMC CHECKLIST'!$B:$H,9,0),"")</f>
        <v/>
      </c>
      <c r="M32" s="63"/>
      <c r="N32" s="63"/>
      <c r="O32" s="64"/>
      <c r="P32" s="56" t="str">
        <f t="array" ref="P32">IFERROR(IF($P$2 &lt;&gt; "", INDEX('SA PRE-APPROVAL FSMC CHECKLIST'!$B$6:$B$45,  SMALL( IF( 'SA PRE-APPROVAL FSMC CHECKLIST'!$D$6:$H$45 = $P$2, ROW('SA PRE-APPROVAL FSMC CHECKLIST'!$B$6:$B$45)-ROW('SA PRE-APPROVAL FSMC CHECKLIST'!$B$6)+1 ),  ROWS('SA PRE-APPROVAL FSMC CHECKLIST'!$B$6:$B34)) ),""), "")</f>
        <v/>
      </c>
      <c r="Q32" s="56" t="str">
        <f>IFERROR(VLOOKUP(P32,'SA PRE-APPROVAL FSMC CHECKLIST'!$B:$H,9,0),"")</f>
        <v/>
      </c>
      <c r="R32" s="63"/>
      <c r="S32" s="63"/>
      <c r="T32" s="64"/>
      <c r="U32" s="56" t="str">
        <f t="array" ref="U32">IFERROR(IF($U$2 &lt;&gt; "", INDEX('SA PRE-APPROVAL FSMC CHECKLIST'!$B$6:$B$45,  SMALL( IF( 'SA PRE-APPROVAL FSMC CHECKLIST'!$D$6:$H$45 = $U$2, ROW('SA PRE-APPROVAL FSMC CHECKLIST'!$B$6:$B$45)-ROW('SA PRE-APPROVAL FSMC CHECKLIST'!$B$6)+1 ),  ROWS('SA PRE-APPROVAL FSMC CHECKLIST'!$B$6:$B34)) ),""), "")</f>
        <v/>
      </c>
      <c r="V32" s="56" t="str">
        <f>IFERROR(VLOOKUP(U32,'SA PRE-APPROVAL FSMC CHECKLIST'!$B:$H,9,0),"")</f>
        <v/>
      </c>
      <c r="W32" s="63"/>
      <c r="X32" s="63"/>
      <c r="Y32" s="64"/>
      <c r="Z32" s="56" t="str">
        <f t="array" ref="Z32">IFERROR(IF($Z$2 &lt;&gt; "", INDEX('SA PRE-APPROVAL FSMC CHECKLIST'!$B$6:$B$45,  SMALL( IF( 'SA PRE-APPROVAL FSMC CHECKLIST'!$D$6:$H$45 = $Z$2, ROW('SA PRE-APPROVAL FSMC CHECKLIST'!$B$6:$B$45)-ROW('SA PRE-APPROVAL FSMC CHECKLIST'!$B$6)+1 ),  ROWS('SA PRE-APPROVAL FSMC CHECKLIST'!$B$6:$B34)) ),""), "")</f>
        <v/>
      </c>
      <c r="AA32" s="56" t="str">
        <f>IFERROR(VLOOKUP(Z32,'SA PRE-APPROVAL FSMC CHECKLIST'!$B:$H,9,0),"")</f>
        <v/>
      </c>
      <c r="AB32" s="63"/>
      <c r="AC32" s="63"/>
      <c r="AD32" s="64"/>
      <c r="AE32" s="65"/>
      <c r="AF32" s="65"/>
      <c r="AG32" s="65"/>
      <c r="AH32" s="65"/>
      <c r="AI32" s="65"/>
      <c r="AJ32" s="65"/>
      <c r="AK32" s="65"/>
      <c r="AL32" s="65"/>
    </row>
    <row r="33" spans="1:38" s="66" customFormat="1" ht="110.25" x14ac:dyDescent="0.25">
      <c r="A33" s="56" t="str">
        <f t="array" ref="A33">IFERROR(IF($A$2 &lt;&gt; "", INDEX('SA PRE-APPROVAL FSMC CHECKLIST'!$B$6:$B$45,  SMALL( IF( 'SA PRE-APPROVAL FSMC CHECKLIST'!$D$6:$H$45 = $A$2, ROW('SA PRE-APPROVAL FSMC CHECKLIST'!$B$6:$B$45)-ROW('SA PRE-APPROVAL FSMC CHECKLIST'!$B$6)+1 ),  ROWS('SA PRE-APPROVAL FSMC CHECKLIST'!$B$6:$B35)) ),""), "")</f>
        <v xml:space="preserve">   e) Ensure that all federally donated foods received by the school food authority and made available to the FSMC accrue only to the benefit of the school food authority's nonprofit school food service and will be fully utilized therein?  [7 CFR 210.16(a)(6)]</v>
      </c>
      <c r="B33" s="56" t="str">
        <f>IFERROR(VLOOKUP(A33,'SA PRE-APPROVAL FSMC CHECKLIST'!$B:$H,9,0),"")</f>
        <v/>
      </c>
      <c r="C33" s="63"/>
      <c r="D33" s="63"/>
      <c r="E33" s="64"/>
      <c r="F33" s="56" t="str">
        <f t="array" ref="F33">IFERROR(IF($F$2 &lt;&gt; "", INDEX('SA PRE-APPROVAL FSMC CHECKLIST'!$B$6:$B$45,  SMALL( IF( 'SA PRE-APPROVAL FSMC CHECKLIST'!$D$6:$H$45 = $F$2, ROW('SA PRE-APPROVAL FSMC CHECKLIST'!$B$6:$B$45)-ROW('SA PRE-APPROVAL FSMC CHECKLIST'!$B$6)+1 ),  ROWS('SA PRE-APPROVAL FSMC CHECKLIST'!$B$6:$B35)) ),""), "")</f>
        <v/>
      </c>
      <c r="G33" s="56" t="str">
        <f>IFERROR(VLOOKUP(F33,'SA PRE-APPROVAL FSMC CHECKLIST'!$B:$H,9,0),"")</f>
        <v/>
      </c>
      <c r="H33" s="63"/>
      <c r="I33" s="63"/>
      <c r="J33" s="64"/>
      <c r="K33" s="56" t="str">
        <f t="array" ref="K33">IFERROR(IF($K$2 &lt;&gt; "", INDEX('SA PRE-APPROVAL FSMC CHECKLIST'!$B$6:$B$45,  SMALL( IF( 'SA PRE-APPROVAL FSMC CHECKLIST'!$D$6:$H$45 = $K$2, ROW('SA PRE-APPROVAL FSMC CHECKLIST'!$B$6:$B$45)-ROW('SA PRE-APPROVAL FSMC CHECKLIST'!$B$6)+1 ),  ROWS('SA PRE-APPROVAL FSMC CHECKLIST'!$B$6:$B35)) ),""), "")</f>
        <v/>
      </c>
      <c r="L33" s="56" t="str">
        <f>IFERROR(VLOOKUP(K33,'SA PRE-APPROVAL FSMC CHECKLIST'!$B:$H,9,0),"")</f>
        <v/>
      </c>
      <c r="M33" s="63"/>
      <c r="N33" s="63"/>
      <c r="O33" s="64"/>
      <c r="P33" s="56" t="str">
        <f t="array" ref="P33">IFERROR(IF($P$2 &lt;&gt; "", INDEX('SA PRE-APPROVAL FSMC CHECKLIST'!$B$6:$B$45,  SMALL( IF( 'SA PRE-APPROVAL FSMC CHECKLIST'!$D$6:$H$45 = $P$2, ROW('SA PRE-APPROVAL FSMC CHECKLIST'!$B$6:$B$45)-ROW('SA PRE-APPROVAL FSMC CHECKLIST'!$B$6)+1 ),  ROWS('SA PRE-APPROVAL FSMC CHECKLIST'!$B$6:$B35)) ),""), "")</f>
        <v/>
      </c>
      <c r="Q33" s="56" t="str">
        <f>IFERROR(VLOOKUP(P33,'SA PRE-APPROVAL FSMC CHECKLIST'!$B:$H,9,0),"")</f>
        <v/>
      </c>
      <c r="R33" s="63"/>
      <c r="S33" s="63"/>
      <c r="T33" s="64"/>
      <c r="U33" s="56" t="str">
        <f t="array" ref="U33">IFERROR(IF($U$2 &lt;&gt; "", INDEX('SA PRE-APPROVAL FSMC CHECKLIST'!$B$6:$B$45,  SMALL( IF( 'SA PRE-APPROVAL FSMC CHECKLIST'!$D$6:$H$45 = $U$2, ROW('SA PRE-APPROVAL FSMC CHECKLIST'!$B$6:$B$45)-ROW('SA PRE-APPROVAL FSMC CHECKLIST'!$B$6)+1 ),  ROWS('SA PRE-APPROVAL FSMC CHECKLIST'!$B$6:$B35)) ),""), "")</f>
        <v/>
      </c>
      <c r="V33" s="56" t="str">
        <f>IFERROR(VLOOKUP(U33,'SA PRE-APPROVAL FSMC CHECKLIST'!$B:$H,9,0),"")</f>
        <v/>
      </c>
      <c r="W33" s="63"/>
      <c r="X33" s="63"/>
      <c r="Y33" s="64"/>
      <c r="Z33" s="56" t="str">
        <f t="array" ref="Z33">IFERROR(IF($Z$2 &lt;&gt; "", INDEX('SA PRE-APPROVAL FSMC CHECKLIST'!$B$6:$B$45,  SMALL( IF( 'SA PRE-APPROVAL FSMC CHECKLIST'!$D$6:$H$45 = $Z$2, ROW('SA PRE-APPROVAL FSMC CHECKLIST'!$B$6:$B$45)-ROW('SA PRE-APPROVAL FSMC CHECKLIST'!$B$6)+1 ),  ROWS('SA PRE-APPROVAL FSMC CHECKLIST'!$B$6:$B35)) ),""), "")</f>
        <v/>
      </c>
      <c r="AA33" s="56" t="str">
        <f>IFERROR(VLOOKUP(Z33,'SA PRE-APPROVAL FSMC CHECKLIST'!$B:$H,9,0),"")</f>
        <v/>
      </c>
      <c r="AB33" s="63"/>
      <c r="AC33" s="63"/>
      <c r="AD33" s="64"/>
      <c r="AE33" s="65"/>
      <c r="AF33" s="65"/>
      <c r="AG33" s="65"/>
      <c r="AH33" s="65"/>
      <c r="AI33" s="65"/>
      <c r="AJ33" s="65"/>
      <c r="AK33" s="65"/>
      <c r="AL33" s="65"/>
    </row>
    <row r="34" spans="1:38" s="66" customFormat="1" ht="110.25" x14ac:dyDescent="0.25">
      <c r="A34" s="56" t="str">
        <f t="array" ref="A34">IFERROR(IF($A$2 &lt;&gt; "", INDEX('SA PRE-APPROVAL FSMC CHECKLIST'!$B$6:$B$45,  SMALL( IF( 'SA PRE-APPROVAL FSMC CHECKLIST'!$D$6:$H$45 = $A$2, ROW('SA PRE-APPROVAL FSMC CHECKLIST'!$B$6:$B$45)-ROW('SA PRE-APPROVAL FSMC CHECKLIST'!$B$6)+1 ),  ROWS('SA PRE-APPROVAL FSMC CHECKLIST'!$B$6:$B36)) ),""), "")</f>
        <v xml:space="preserve">   e) Ensure that all federally donated foods received by the school food authority and made available to the FSMC accrue only to the benefit of the school food authority's nonprofit school food service and will be fully utilized therein?  [7 CFR 210.16(a)(6)]</v>
      </c>
      <c r="B34" s="56" t="str">
        <f>IFERROR(VLOOKUP(A34,'SA PRE-APPROVAL FSMC CHECKLIST'!$B:$H,9,0),"")</f>
        <v/>
      </c>
      <c r="C34" s="63"/>
      <c r="D34" s="63"/>
      <c r="E34" s="64"/>
      <c r="F34" s="56" t="str">
        <f t="array" ref="F34">IFERROR(IF($F$2 &lt;&gt; "", INDEX('SA PRE-APPROVAL FSMC CHECKLIST'!$B$6:$B$45,  SMALL( IF( 'SA PRE-APPROVAL FSMC CHECKLIST'!$D$6:$H$45 = $F$2, ROW('SA PRE-APPROVAL FSMC CHECKLIST'!$B$6:$B$45)-ROW('SA PRE-APPROVAL FSMC CHECKLIST'!$B$6)+1 ),  ROWS('SA PRE-APPROVAL FSMC CHECKLIST'!$B$6:$B36)) ),""), "")</f>
        <v/>
      </c>
      <c r="G34" s="56" t="str">
        <f>IFERROR(VLOOKUP(F34,'SA PRE-APPROVAL FSMC CHECKLIST'!$B:$H,9,0),"")</f>
        <v/>
      </c>
      <c r="H34" s="63"/>
      <c r="I34" s="63"/>
      <c r="J34" s="64"/>
      <c r="K34" s="56" t="str">
        <f t="array" ref="K34">IFERROR(IF($K$2 &lt;&gt; "", INDEX('SA PRE-APPROVAL FSMC CHECKLIST'!$B$6:$B$45,  SMALL( IF( 'SA PRE-APPROVAL FSMC CHECKLIST'!$D$6:$H$45 = $K$2, ROW('SA PRE-APPROVAL FSMC CHECKLIST'!$B$6:$B$45)-ROW('SA PRE-APPROVAL FSMC CHECKLIST'!$B$6)+1 ),  ROWS('SA PRE-APPROVAL FSMC CHECKLIST'!$B$6:$B36)) ),""), "")</f>
        <v/>
      </c>
      <c r="L34" s="56" t="str">
        <f>IFERROR(VLOOKUP(K34,'SA PRE-APPROVAL FSMC CHECKLIST'!$B:$H,9,0),"")</f>
        <v/>
      </c>
      <c r="M34" s="63"/>
      <c r="N34" s="63"/>
      <c r="O34" s="64"/>
      <c r="P34" s="56" t="str">
        <f t="array" ref="P34">IFERROR(IF($P$2 &lt;&gt; "", INDEX('SA PRE-APPROVAL FSMC CHECKLIST'!$B$6:$B$45,  SMALL( IF( 'SA PRE-APPROVAL FSMC CHECKLIST'!$D$6:$H$45 = $P$2, ROW('SA PRE-APPROVAL FSMC CHECKLIST'!$B$6:$B$45)-ROW('SA PRE-APPROVAL FSMC CHECKLIST'!$B$6)+1 ),  ROWS('SA PRE-APPROVAL FSMC CHECKLIST'!$B$6:$B36)) ),""), "")</f>
        <v/>
      </c>
      <c r="Q34" s="56" t="str">
        <f>IFERROR(VLOOKUP(P34,'SA PRE-APPROVAL FSMC CHECKLIST'!$B:$H,9,0),"")</f>
        <v/>
      </c>
      <c r="R34" s="63"/>
      <c r="S34" s="63"/>
      <c r="T34" s="64"/>
      <c r="U34" s="56" t="str">
        <f t="array" ref="U34">IFERROR(IF($U$2 &lt;&gt; "", INDEX('SA PRE-APPROVAL FSMC CHECKLIST'!$B$6:$B$45,  SMALL( IF( 'SA PRE-APPROVAL FSMC CHECKLIST'!$D$6:$H$45 = $U$2, ROW('SA PRE-APPROVAL FSMC CHECKLIST'!$B$6:$B$45)-ROW('SA PRE-APPROVAL FSMC CHECKLIST'!$B$6)+1 ),  ROWS('SA PRE-APPROVAL FSMC CHECKLIST'!$B$6:$B36)) ),""), "")</f>
        <v/>
      </c>
      <c r="V34" s="56" t="str">
        <f>IFERROR(VLOOKUP(U34,'SA PRE-APPROVAL FSMC CHECKLIST'!$B:$H,9,0),"")</f>
        <v/>
      </c>
      <c r="W34" s="63"/>
      <c r="X34" s="63"/>
      <c r="Y34" s="64"/>
      <c r="Z34" s="56" t="str">
        <f t="array" ref="Z34">IFERROR(IF($Z$2 &lt;&gt; "", INDEX('SA PRE-APPROVAL FSMC CHECKLIST'!$B$6:$B$45,  SMALL( IF( 'SA PRE-APPROVAL FSMC CHECKLIST'!$D$6:$H$45 = $Z$2, ROW('SA PRE-APPROVAL FSMC CHECKLIST'!$B$6:$B$45)-ROW('SA PRE-APPROVAL FSMC CHECKLIST'!$B$6)+1 ),  ROWS('SA PRE-APPROVAL FSMC CHECKLIST'!$B$6:$B36)) ),""), "")</f>
        <v/>
      </c>
      <c r="AA34" s="56" t="str">
        <f>IFERROR(VLOOKUP(Z34,'SA PRE-APPROVAL FSMC CHECKLIST'!$B:$H,9,0),"")</f>
        <v/>
      </c>
      <c r="AB34" s="63"/>
      <c r="AC34" s="63"/>
      <c r="AD34" s="64"/>
      <c r="AE34" s="65"/>
      <c r="AF34" s="65"/>
      <c r="AG34" s="65"/>
      <c r="AH34" s="65"/>
      <c r="AI34" s="65"/>
      <c r="AJ34" s="65"/>
      <c r="AK34" s="65"/>
      <c r="AL34" s="65"/>
    </row>
    <row r="35" spans="1:38" s="66" customFormat="1" ht="110.25" x14ac:dyDescent="0.25">
      <c r="A35" s="56" t="str">
        <f t="array" ref="A35">IFERROR(IF($A$2 &lt;&gt; "", INDEX('SA PRE-APPROVAL FSMC CHECKLIST'!$B$6:$B$45,  SMALL( IF( 'SA PRE-APPROVAL FSMC CHECKLIST'!$D$6:$H$45 = $A$2, ROW('SA PRE-APPROVAL FSMC CHECKLIST'!$B$6:$B$45)-ROW('SA PRE-APPROVAL FSMC CHECKLIST'!$B$6)+1 ),  ROWS('SA PRE-APPROVAL FSMC CHECKLIST'!$B$6:$B37)) ),""), "")</f>
        <v xml:space="preserve">   e) Ensure that all federally donated foods received by the school food authority and made available to the FSMC accrue only to the benefit of the school food authority's nonprofit school food service and will be fully utilized therein?  [7 CFR 210.16(a)(6)]</v>
      </c>
      <c r="B35" s="56" t="str">
        <f>IFERROR(VLOOKUP(A35,'SA PRE-APPROVAL FSMC CHECKLIST'!$B:$H,9,0),"")</f>
        <v/>
      </c>
      <c r="C35" s="63"/>
      <c r="D35" s="63"/>
      <c r="E35" s="64"/>
      <c r="F35" s="56" t="str">
        <f t="array" ref="F35">IFERROR(IF($F$2 &lt;&gt; "", INDEX('SA PRE-APPROVAL FSMC CHECKLIST'!$B$6:$B$45,  SMALL( IF( 'SA PRE-APPROVAL FSMC CHECKLIST'!$D$6:$H$45 = $F$2, ROW('SA PRE-APPROVAL FSMC CHECKLIST'!$B$6:$B$45)-ROW('SA PRE-APPROVAL FSMC CHECKLIST'!$B$6)+1 ),  ROWS('SA PRE-APPROVAL FSMC CHECKLIST'!$B$6:$B37)) ),""), "")</f>
        <v/>
      </c>
      <c r="G35" s="56" t="str">
        <f>IFERROR(VLOOKUP(F35,'SA PRE-APPROVAL FSMC CHECKLIST'!$B:$H,9,0),"")</f>
        <v/>
      </c>
      <c r="H35" s="63"/>
      <c r="I35" s="63"/>
      <c r="J35" s="64"/>
      <c r="K35" s="56" t="str">
        <f t="array" ref="K35">IFERROR(IF($K$2 &lt;&gt; "", INDEX('SA PRE-APPROVAL FSMC CHECKLIST'!$B$6:$B$45,  SMALL( IF( 'SA PRE-APPROVAL FSMC CHECKLIST'!$D$6:$H$45 = $K$2, ROW('SA PRE-APPROVAL FSMC CHECKLIST'!$B$6:$B$45)-ROW('SA PRE-APPROVAL FSMC CHECKLIST'!$B$6)+1 ),  ROWS('SA PRE-APPROVAL FSMC CHECKLIST'!$B$6:$B37)) ),""), "")</f>
        <v/>
      </c>
      <c r="L35" s="56" t="str">
        <f>IFERROR(VLOOKUP(K35,'SA PRE-APPROVAL FSMC CHECKLIST'!$B:$H,9,0),"")</f>
        <v/>
      </c>
      <c r="M35" s="63"/>
      <c r="N35" s="63"/>
      <c r="O35" s="64"/>
      <c r="P35" s="56" t="str">
        <f t="array" ref="P35">IFERROR(IF($P$2 &lt;&gt; "", INDEX('SA PRE-APPROVAL FSMC CHECKLIST'!$B$6:$B$45,  SMALL( IF( 'SA PRE-APPROVAL FSMC CHECKLIST'!$D$6:$H$45 = $P$2, ROW('SA PRE-APPROVAL FSMC CHECKLIST'!$B$6:$B$45)-ROW('SA PRE-APPROVAL FSMC CHECKLIST'!$B$6)+1 ),  ROWS('SA PRE-APPROVAL FSMC CHECKLIST'!$B$6:$B37)) ),""), "")</f>
        <v/>
      </c>
      <c r="Q35" s="56" t="str">
        <f>IFERROR(VLOOKUP(P35,'SA PRE-APPROVAL FSMC CHECKLIST'!$B:$H,9,0),"")</f>
        <v/>
      </c>
      <c r="R35" s="63"/>
      <c r="S35" s="63"/>
      <c r="T35" s="64"/>
      <c r="U35" s="56" t="str">
        <f t="array" ref="U35">IFERROR(IF($U$2 &lt;&gt; "", INDEX('SA PRE-APPROVAL FSMC CHECKLIST'!$B$6:$B$45,  SMALL( IF( 'SA PRE-APPROVAL FSMC CHECKLIST'!$D$6:$H$45 = $U$2, ROW('SA PRE-APPROVAL FSMC CHECKLIST'!$B$6:$B$45)-ROW('SA PRE-APPROVAL FSMC CHECKLIST'!$B$6)+1 ),  ROWS('SA PRE-APPROVAL FSMC CHECKLIST'!$B$6:$B37)) ),""), "")</f>
        <v/>
      </c>
      <c r="V35" s="56" t="str">
        <f>IFERROR(VLOOKUP(U35,'SA PRE-APPROVAL FSMC CHECKLIST'!$B:$H,9,0),"")</f>
        <v/>
      </c>
      <c r="W35" s="63"/>
      <c r="X35" s="63"/>
      <c r="Y35" s="64"/>
      <c r="Z35" s="56" t="str">
        <f t="array" ref="Z35">IFERROR(IF($Z$2 &lt;&gt; "", INDEX('SA PRE-APPROVAL FSMC CHECKLIST'!$B$6:$B$45,  SMALL( IF( 'SA PRE-APPROVAL FSMC CHECKLIST'!$D$6:$H$45 = $Z$2, ROW('SA PRE-APPROVAL FSMC CHECKLIST'!$B$6:$B$45)-ROW('SA PRE-APPROVAL FSMC CHECKLIST'!$B$6)+1 ),  ROWS('SA PRE-APPROVAL FSMC CHECKLIST'!$B$6:$B37)) ),""), "")</f>
        <v/>
      </c>
      <c r="AA35" s="56" t="str">
        <f>IFERROR(VLOOKUP(Z35,'SA PRE-APPROVAL FSMC CHECKLIST'!$B:$H,9,0),"")</f>
        <v/>
      </c>
      <c r="AB35" s="63"/>
      <c r="AC35" s="63"/>
      <c r="AD35" s="64"/>
      <c r="AE35" s="65"/>
      <c r="AF35" s="65"/>
      <c r="AG35" s="65"/>
      <c r="AH35" s="65"/>
      <c r="AI35" s="65"/>
      <c r="AJ35" s="65"/>
      <c r="AK35" s="65"/>
      <c r="AL35" s="65"/>
    </row>
    <row r="36" spans="1:38" s="66" customFormat="1" ht="110.25" x14ac:dyDescent="0.25">
      <c r="A36" s="56" t="str">
        <f t="array" ref="A36">IFERROR(IF($A$2 &lt;&gt; "", INDEX('SA PRE-APPROVAL FSMC CHECKLIST'!$B$6:$B$45,  SMALL( IF( 'SA PRE-APPROVAL FSMC CHECKLIST'!$D$6:$H$45 = $A$2, ROW('SA PRE-APPROVAL FSMC CHECKLIST'!$B$6:$B$45)-ROW('SA PRE-APPROVAL FSMC CHECKLIST'!$B$6)+1 ),  ROWS('SA PRE-APPROVAL FSMC CHECKLIST'!$B$6:$B38)) ),""), "")</f>
        <v xml:space="preserve">   e) Ensure that all federally donated foods received by the school food authority and made available to the FSMC accrue only to the benefit of the school food authority's nonprofit school food service and will be fully utilized therein?  [7 CFR 210.16(a)(6)]</v>
      </c>
      <c r="B36" s="56" t="str">
        <f>IFERROR(VLOOKUP(A36,'SA PRE-APPROVAL FSMC CHECKLIST'!$B:$H,9,0),"")</f>
        <v/>
      </c>
      <c r="C36" s="63"/>
      <c r="D36" s="63"/>
      <c r="E36" s="64"/>
      <c r="F36" s="56" t="str">
        <f t="array" ref="F36">IFERROR(IF($F$2 &lt;&gt; "", INDEX('SA PRE-APPROVAL FSMC CHECKLIST'!$B$6:$B$45,  SMALL( IF( 'SA PRE-APPROVAL FSMC CHECKLIST'!$D$6:$H$45 = $F$2, ROW('SA PRE-APPROVAL FSMC CHECKLIST'!$B$6:$B$45)-ROW('SA PRE-APPROVAL FSMC CHECKLIST'!$B$6)+1 ),  ROWS('SA PRE-APPROVAL FSMC CHECKLIST'!$B$6:$B38)) ),""), "")</f>
        <v/>
      </c>
      <c r="G36" s="56" t="str">
        <f>IFERROR(VLOOKUP(F36,'SA PRE-APPROVAL FSMC CHECKLIST'!$B:$H,9,0),"")</f>
        <v/>
      </c>
      <c r="H36" s="63"/>
      <c r="I36" s="63"/>
      <c r="J36" s="64"/>
      <c r="K36" s="56" t="str">
        <f t="array" ref="K36">IFERROR(IF($K$2 &lt;&gt; "", INDEX('SA PRE-APPROVAL FSMC CHECKLIST'!$B$6:$B$45,  SMALL( IF( 'SA PRE-APPROVAL FSMC CHECKLIST'!$D$6:$H$45 = $K$2, ROW('SA PRE-APPROVAL FSMC CHECKLIST'!$B$6:$B$45)-ROW('SA PRE-APPROVAL FSMC CHECKLIST'!$B$6)+1 ),  ROWS('SA PRE-APPROVAL FSMC CHECKLIST'!$B$6:$B38)) ),""), "")</f>
        <v/>
      </c>
      <c r="L36" s="56" t="str">
        <f>IFERROR(VLOOKUP(K36,'SA PRE-APPROVAL FSMC CHECKLIST'!$B:$H,9,0),"")</f>
        <v/>
      </c>
      <c r="M36" s="63"/>
      <c r="N36" s="63"/>
      <c r="O36" s="64"/>
      <c r="P36" s="56" t="str">
        <f t="array" ref="P36">IFERROR(IF($P$2 &lt;&gt; "", INDEX('SA PRE-APPROVAL FSMC CHECKLIST'!$B$6:$B$45,  SMALL( IF( 'SA PRE-APPROVAL FSMC CHECKLIST'!$D$6:$H$45 = $P$2, ROW('SA PRE-APPROVAL FSMC CHECKLIST'!$B$6:$B$45)-ROW('SA PRE-APPROVAL FSMC CHECKLIST'!$B$6)+1 ),  ROWS('SA PRE-APPROVAL FSMC CHECKLIST'!$B$6:$B38)) ),""), "")</f>
        <v/>
      </c>
      <c r="Q36" s="56" t="str">
        <f>IFERROR(VLOOKUP(P36,'SA PRE-APPROVAL FSMC CHECKLIST'!$B:$H,9,0),"")</f>
        <v/>
      </c>
      <c r="R36" s="63"/>
      <c r="S36" s="63"/>
      <c r="T36" s="64"/>
      <c r="U36" s="56" t="str">
        <f t="array" ref="U36">IFERROR(IF($U$2 &lt;&gt; "", INDEX('SA PRE-APPROVAL FSMC CHECKLIST'!$B$6:$B$45,  SMALL( IF( 'SA PRE-APPROVAL FSMC CHECKLIST'!$D$6:$H$45 = $U$2, ROW('SA PRE-APPROVAL FSMC CHECKLIST'!$B$6:$B$45)-ROW('SA PRE-APPROVAL FSMC CHECKLIST'!$B$6)+1 ),  ROWS('SA PRE-APPROVAL FSMC CHECKLIST'!$B$6:$B38)) ),""), "")</f>
        <v/>
      </c>
      <c r="V36" s="56" t="str">
        <f>IFERROR(VLOOKUP(U36,'SA PRE-APPROVAL FSMC CHECKLIST'!$B:$H,9,0),"")</f>
        <v/>
      </c>
      <c r="W36" s="63"/>
      <c r="X36" s="63"/>
      <c r="Y36" s="64"/>
      <c r="Z36" s="56" t="str">
        <f t="array" ref="Z36">IFERROR(IF($Z$2 &lt;&gt; "", INDEX('SA PRE-APPROVAL FSMC CHECKLIST'!$B$6:$B$45,  SMALL( IF( 'SA PRE-APPROVAL FSMC CHECKLIST'!$D$6:$H$45 = $Z$2, ROW('SA PRE-APPROVAL FSMC CHECKLIST'!$B$6:$B$45)-ROW('SA PRE-APPROVAL FSMC CHECKLIST'!$B$6)+1 ),  ROWS('SA PRE-APPROVAL FSMC CHECKLIST'!$B$6:$B38)) ),""), "")</f>
        <v/>
      </c>
      <c r="AA36" s="56" t="str">
        <f>IFERROR(VLOOKUP(Z36,'SA PRE-APPROVAL FSMC CHECKLIST'!$B:$H,9,0),"")</f>
        <v/>
      </c>
      <c r="AB36" s="63"/>
      <c r="AC36" s="63"/>
      <c r="AD36" s="64"/>
      <c r="AE36" s="65"/>
      <c r="AF36" s="65"/>
      <c r="AG36" s="65"/>
      <c r="AH36" s="65"/>
      <c r="AI36" s="65"/>
      <c r="AJ36" s="65"/>
      <c r="AK36" s="65"/>
      <c r="AL36" s="65"/>
    </row>
    <row r="37" spans="1:38" s="66" customFormat="1" ht="110.25" x14ac:dyDescent="0.25">
      <c r="A37" s="56" t="str">
        <f t="array" ref="A37">IFERROR(IF($A$2 &lt;&gt; "", INDEX('SA PRE-APPROVAL FSMC CHECKLIST'!$B$6:$B$45,  SMALL( IF( 'SA PRE-APPROVAL FSMC CHECKLIST'!$D$6:$H$45 = $A$2, ROW('SA PRE-APPROVAL FSMC CHECKLIST'!$B$6:$B$45)-ROW('SA PRE-APPROVAL FSMC CHECKLIST'!$B$6)+1 ),  ROWS('SA PRE-APPROVAL FSMC CHECKLIST'!$B$6:$B39)) ),""), "")</f>
        <v xml:space="preserve">   e) Ensure that all federally donated foods received by the school food authority and made available to the FSMC accrue only to the benefit of the school food authority's nonprofit school food service and will be fully utilized therein?  [7 CFR 210.16(a)(6)]</v>
      </c>
      <c r="B37" s="56" t="str">
        <f>IFERROR(VLOOKUP(A37,'SA PRE-APPROVAL FSMC CHECKLIST'!$B:$H,9,0),"")</f>
        <v/>
      </c>
      <c r="C37" s="63"/>
      <c r="D37" s="63"/>
      <c r="E37" s="64"/>
      <c r="F37" s="56" t="str">
        <f t="array" ref="F37">IFERROR(IF($F$2 &lt;&gt; "", INDEX('SA PRE-APPROVAL FSMC CHECKLIST'!$B$6:$B$45,  SMALL( IF( 'SA PRE-APPROVAL FSMC CHECKLIST'!$D$6:$H$45 = $F$2, ROW('SA PRE-APPROVAL FSMC CHECKLIST'!$B$6:$B$45)-ROW('SA PRE-APPROVAL FSMC CHECKLIST'!$B$6)+1 ),  ROWS('SA PRE-APPROVAL FSMC CHECKLIST'!$B$6:$B39)) ),""), "")</f>
        <v/>
      </c>
      <c r="G37" s="56" t="str">
        <f>IFERROR(VLOOKUP(F37,'SA PRE-APPROVAL FSMC CHECKLIST'!$B:$H,9,0),"")</f>
        <v/>
      </c>
      <c r="H37" s="63"/>
      <c r="I37" s="63"/>
      <c r="J37" s="64"/>
      <c r="K37" s="56" t="str">
        <f t="array" ref="K37">IFERROR(IF($K$2 &lt;&gt; "", INDEX('SA PRE-APPROVAL FSMC CHECKLIST'!$B$6:$B$45,  SMALL( IF( 'SA PRE-APPROVAL FSMC CHECKLIST'!$D$6:$H$45 = $K$2, ROW('SA PRE-APPROVAL FSMC CHECKLIST'!$B$6:$B$45)-ROW('SA PRE-APPROVAL FSMC CHECKLIST'!$B$6)+1 ),  ROWS('SA PRE-APPROVAL FSMC CHECKLIST'!$B$6:$B39)) ),""), "")</f>
        <v/>
      </c>
      <c r="L37" s="56" t="str">
        <f>IFERROR(VLOOKUP(K37,'SA PRE-APPROVAL FSMC CHECKLIST'!$B:$H,9,0),"")</f>
        <v/>
      </c>
      <c r="M37" s="63"/>
      <c r="N37" s="63"/>
      <c r="O37" s="64"/>
      <c r="P37" s="56" t="str">
        <f t="array" ref="P37">IFERROR(IF($P$2 &lt;&gt; "", INDEX('SA PRE-APPROVAL FSMC CHECKLIST'!$B$6:$B$45,  SMALL( IF( 'SA PRE-APPROVAL FSMC CHECKLIST'!$D$6:$H$45 = $P$2, ROW('SA PRE-APPROVAL FSMC CHECKLIST'!$B$6:$B$45)-ROW('SA PRE-APPROVAL FSMC CHECKLIST'!$B$6)+1 ),  ROWS('SA PRE-APPROVAL FSMC CHECKLIST'!$B$6:$B39)) ),""), "")</f>
        <v/>
      </c>
      <c r="Q37" s="56" t="str">
        <f>IFERROR(VLOOKUP(P37,'SA PRE-APPROVAL FSMC CHECKLIST'!$B:$H,9,0),"")</f>
        <v/>
      </c>
      <c r="R37" s="63"/>
      <c r="S37" s="63"/>
      <c r="T37" s="64"/>
      <c r="U37" s="56" t="str">
        <f t="array" ref="U37">IFERROR(IF($U$2 &lt;&gt; "", INDEX('SA PRE-APPROVAL FSMC CHECKLIST'!$B$6:$B$45,  SMALL( IF( 'SA PRE-APPROVAL FSMC CHECKLIST'!$D$6:$H$45 = $U$2, ROW('SA PRE-APPROVAL FSMC CHECKLIST'!$B$6:$B$45)-ROW('SA PRE-APPROVAL FSMC CHECKLIST'!$B$6)+1 ),  ROWS('SA PRE-APPROVAL FSMC CHECKLIST'!$B$6:$B39)) ),""), "")</f>
        <v/>
      </c>
      <c r="V37" s="56" t="str">
        <f>IFERROR(VLOOKUP(U37,'SA PRE-APPROVAL FSMC CHECKLIST'!$B:$H,9,0),"")</f>
        <v/>
      </c>
      <c r="W37" s="63"/>
      <c r="X37" s="63"/>
      <c r="Y37" s="64"/>
      <c r="Z37" s="56" t="str">
        <f t="array" ref="Z37">IFERROR(IF($Z$2 &lt;&gt; "", INDEX('SA PRE-APPROVAL FSMC CHECKLIST'!$B$6:$B$45,  SMALL( IF( 'SA PRE-APPROVAL FSMC CHECKLIST'!$D$6:$H$45 = $Z$2, ROW('SA PRE-APPROVAL FSMC CHECKLIST'!$B$6:$B$45)-ROW('SA PRE-APPROVAL FSMC CHECKLIST'!$B$6)+1 ),  ROWS('SA PRE-APPROVAL FSMC CHECKLIST'!$B$6:$B39)) ),""), "")</f>
        <v/>
      </c>
      <c r="AA37" s="56" t="str">
        <f>IFERROR(VLOOKUP(Z37,'SA PRE-APPROVAL FSMC CHECKLIST'!$B:$H,9,0),"")</f>
        <v/>
      </c>
      <c r="AB37" s="63"/>
      <c r="AC37" s="63"/>
      <c r="AD37" s="64"/>
      <c r="AE37" s="65"/>
      <c r="AF37" s="65"/>
      <c r="AG37" s="65"/>
      <c r="AH37" s="65"/>
      <c r="AI37" s="65"/>
      <c r="AJ37" s="65"/>
      <c r="AK37" s="65"/>
      <c r="AL37" s="65"/>
    </row>
    <row r="38" spans="1:38" s="66" customFormat="1" ht="94.5" x14ac:dyDescent="0.25">
      <c r="A38" s="56" t="str">
        <f t="array" ref="A38">IFERROR(IF($A$2 &lt;&gt; "", INDEX('SA PRE-APPROVAL FSMC CHECKLIST'!$B$6:$B$45,  SMALL( IF( 'SA PRE-APPROVAL FSMC CHECKLIST'!$D$6:$H$45 = $A$2, ROW('SA PRE-APPROVAL FSMC CHECKLIST'!$B$6:$B$45)-ROW('SA PRE-APPROVAL FSMC CHECKLIST'!$B$6)+1 ),  ROWS('SA PRE-APPROVAL FSMC CHECKLIST'!$B$6:$B40)) ),""), "")</f>
        <v xml:space="preserve">   f) Maintain applicable health certification and assure that all State and local regulations are being met by a FSMC preparing or serving meals at a school food authority facility?  [7 CFR 210.16(a)(7)]</v>
      </c>
      <c r="B38" s="56" t="str">
        <f>IFERROR(VLOOKUP(A38,'SA PRE-APPROVAL FSMC CHECKLIST'!$B:$H,9,0),"")</f>
        <v/>
      </c>
      <c r="C38" s="63"/>
      <c r="D38" s="63"/>
      <c r="E38" s="64"/>
      <c r="F38" s="56" t="str">
        <f t="array" ref="F38">IFERROR(IF($F$2 &lt;&gt; "", INDEX('SA PRE-APPROVAL FSMC CHECKLIST'!$B$6:$B$45,  SMALL( IF( 'SA PRE-APPROVAL FSMC CHECKLIST'!$D$6:$H$45 = $F$2, ROW('SA PRE-APPROVAL FSMC CHECKLIST'!$B$6:$B$45)-ROW('SA PRE-APPROVAL FSMC CHECKLIST'!$B$6)+1 ),  ROWS('SA PRE-APPROVAL FSMC CHECKLIST'!$B$6:$B40)) ),""), "")</f>
        <v/>
      </c>
      <c r="G38" s="56" t="str">
        <f>IFERROR(VLOOKUP(F38,'SA PRE-APPROVAL FSMC CHECKLIST'!$B:$H,9,0),"")</f>
        <v/>
      </c>
      <c r="H38" s="63"/>
      <c r="I38" s="63"/>
      <c r="J38" s="64"/>
      <c r="K38" s="56" t="str">
        <f t="array" ref="K38">IFERROR(IF($K$2 &lt;&gt; "", INDEX('SA PRE-APPROVAL FSMC CHECKLIST'!$B$6:$B$45,  SMALL( IF( 'SA PRE-APPROVAL FSMC CHECKLIST'!$D$6:$H$45 = $K$2, ROW('SA PRE-APPROVAL FSMC CHECKLIST'!$B$6:$B$45)-ROW('SA PRE-APPROVAL FSMC CHECKLIST'!$B$6)+1 ),  ROWS('SA PRE-APPROVAL FSMC CHECKLIST'!$B$6:$B40)) ),""), "")</f>
        <v/>
      </c>
      <c r="L38" s="56" t="str">
        <f>IFERROR(VLOOKUP(K38,'SA PRE-APPROVAL FSMC CHECKLIST'!$B:$H,9,0),"")</f>
        <v/>
      </c>
      <c r="M38" s="63"/>
      <c r="N38" s="63"/>
      <c r="O38" s="64"/>
      <c r="P38" s="56" t="str">
        <f t="array" ref="P38">IFERROR(IF($P$2 &lt;&gt; "", INDEX('SA PRE-APPROVAL FSMC CHECKLIST'!$B$6:$B$45,  SMALL( IF( 'SA PRE-APPROVAL FSMC CHECKLIST'!$D$6:$H$45 = $P$2, ROW('SA PRE-APPROVAL FSMC CHECKLIST'!$B$6:$B$45)-ROW('SA PRE-APPROVAL FSMC CHECKLIST'!$B$6)+1 ),  ROWS('SA PRE-APPROVAL FSMC CHECKLIST'!$B$6:$B40)) ),""), "")</f>
        <v/>
      </c>
      <c r="Q38" s="56" t="str">
        <f>IFERROR(VLOOKUP(P38,'SA PRE-APPROVAL FSMC CHECKLIST'!$B:$H,9,0),"")</f>
        <v/>
      </c>
      <c r="R38" s="63"/>
      <c r="S38" s="63"/>
      <c r="T38" s="64"/>
      <c r="U38" s="56" t="str">
        <f t="array" ref="U38">IFERROR(IF($U$2 &lt;&gt; "", INDEX('SA PRE-APPROVAL FSMC CHECKLIST'!$B$6:$B$45,  SMALL( IF( 'SA PRE-APPROVAL FSMC CHECKLIST'!$D$6:$H$45 = $U$2, ROW('SA PRE-APPROVAL FSMC CHECKLIST'!$B$6:$B$45)-ROW('SA PRE-APPROVAL FSMC CHECKLIST'!$B$6)+1 ),  ROWS('SA PRE-APPROVAL FSMC CHECKLIST'!$B$6:$B40)) ),""), "")</f>
        <v/>
      </c>
      <c r="V38" s="56" t="str">
        <f>IFERROR(VLOOKUP(U38,'SA PRE-APPROVAL FSMC CHECKLIST'!$B:$H,9,0),"")</f>
        <v/>
      </c>
      <c r="W38" s="63"/>
      <c r="X38" s="63"/>
      <c r="Y38" s="64"/>
      <c r="Z38" s="56" t="str">
        <f t="array" ref="Z38">IFERROR(IF($Z$2 &lt;&gt; "", INDEX('SA PRE-APPROVAL FSMC CHECKLIST'!$B$6:$B$45,  SMALL( IF( 'SA PRE-APPROVAL FSMC CHECKLIST'!$D$6:$H$45 = $Z$2, ROW('SA PRE-APPROVAL FSMC CHECKLIST'!$B$6:$B$45)-ROW('SA PRE-APPROVAL FSMC CHECKLIST'!$B$6)+1 ),  ROWS('SA PRE-APPROVAL FSMC CHECKLIST'!$B$6:$B40)) ),""), "")</f>
        <v/>
      </c>
      <c r="AA38" s="56" t="str">
        <f>IFERROR(VLOOKUP(Z38,'SA PRE-APPROVAL FSMC CHECKLIST'!$B:$H,9,0),"")</f>
        <v/>
      </c>
      <c r="AB38" s="63"/>
      <c r="AC38" s="63"/>
      <c r="AD38" s="64"/>
      <c r="AE38" s="65"/>
      <c r="AF38" s="65"/>
      <c r="AG38" s="65"/>
      <c r="AH38" s="65"/>
      <c r="AI38" s="65"/>
      <c r="AJ38" s="65"/>
      <c r="AK38" s="65"/>
      <c r="AL38" s="65"/>
    </row>
    <row r="39" spans="1:38" s="66" customFormat="1" ht="94.5" x14ac:dyDescent="0.25">
      <c r="A39" s="56" t="str">
        <f t="array" ref="A39">IFERROR(IF($A$2 &lt;&gt; "", INDEX('SA PRE-APPROVAL FSMC CHECKLIST'!$B$6:$B$45,  SMALL( IF( 'SA PRE-APPROVAL FSMC CHECKLIST'!$D$6:$H$45 = $A$2, ROW('SA PRE-APPROVAL FSMC CHECKLIST'!$B$6:$B$45)-ROW('SA PRE-APPROVAL FSMC CHECKLIST'!$B$6)+1 ),  ROWS('SA PRE-APPROVAL FSMC CHECKLIST'!$B$6:$B41)) ),""), "")</f>
        <v xml:space="preserve">   f) Maintain applicable health certification and assure that all State and local regulations are being met by a FSMC preparing or serving meals at a school food authority facility?  [7 CFR 210.16(a)(7)]</v>
      </c>
      <c r="B39" s="56" t="str">
        <f>IFERROR(VLOOKUP(A39,'SA PRE-APPROVAL FSMC CHECKLIST'!$B:$H,9,0),"")</f>
        <v/>
      </c>
      <c r="C39" s="63"/>
      <c r="D39" s="63"/>
      <c r="E39" s="64"/>
      <c r="F39" s="56" t="str">
        <f t="array" ref="F39">IFERROR(IF($F$2 &lt;&gt; "", INDEX('SA PRE-APPROVAL FSMC CHECKLIST'!$B$6:$B$45,  SMALL( IF( 'SA PRE-APPROVAL FSMC CHECKLIST'!$D$6:$H$45 = $F$2, ROW('SA PRE-APPROVAL FSMC CHECKLIST'!$B$6:$B$45)-ROW('SA PRE-APPROVAL FSMC CHECKLIST'!$B$6)+1 ),  ROWS('SA PRE-APPROVAL FSMC CHECKLIST'!$B$6:$B41)) ),""), "")</f>
        <v/>
      </c>
      <c r="G39" s="56" t="str">
        <f>IFERROR(VLOOKUP(F39,'SA PRE-APPROVAL FSMC CHECKLIST'!$B:$H,9,0),"")</f>
        <v/>
      </c>
      <c r="H39" s="63"/>
      <c r="I39" s="63"/>
      <c r="J39" s="64"/>
      <c r="K39" s="56" t="str">
        <f t="array" ref="K39">IFERROR(IF($K$2 &lt;&gt; "", INDEX('SA PRE-APPROVAL FSMC CHECKLIST'!$B$6:$B$45,  SMALL( IF( 'SA PRE-APPROVAL FSMC CHECKLIST'!$D$6:$H$45 = $K$2, ROW('SA PRE-APPROVAL FSMC CHECKLIST'!$B$6:$B$45)-ROW('SA PRE-APPROVAL FSMC CHECKLIST'!$B$6)+1 ),  ROWS('SA PRE-APPROVAL FSMC CHECKLIST'!$B$6:$B41)) ),""), "")</f>
        <v/>
      </c>
      <c r="L39" s="56" t="str">
        <f>IFERROR(VLOOKUP(K39,'SA PRE-APPROVAL FSMC CHECKLIST'!$B:$H,9,0),"")</f>
        <v/>
      </c>
      <c r="M39" s="63"/>
      <c r="N39" s="63"/>
      <c r="O39" s="64"/>
      <c r="P39" s="56" t="str">
        <f t="array" ref="P39">IFERROR(IF($P$2 &lt;&gt; "", INDEX('SA PRE-APPROVAL FSMC CHECKLIST'!$B$6:$B$45,  SMALL( IF( 'SA PRE-APPROVAL FSMC CHECKLIST'!$D$6:$H$45 = $P$2, ROW('SA PRE-APPROVAL FSMC CHECKLIST'!$B$6:$B$45)-ROW('SA PRE-APPROVAL FSMC CHECKLIST'!$B$6)+1 ),  ROWS('SA PRE-APPROVAL FSMC CHECKLIST'!$B$6:$B41)) ),""), "")</f>
        <v/>
      </c>
      <c r="Q39" s="56" t="str">
        <f>IFERROR(VLOOKUP(P39,'SA PRE-APPROVAL FSMC CHECKLIST'!$B:$H,9,0),"")</f>
        <v/>
      </c>
      <c r="R39" s="63"/>
      <c r="S39" s="63"/>
      <c r="T39" s="64"/>
      <c r="U39" s="56" t="str">
        <f t="array" ref="U39">IFERROR(IF($U$2 &lt;&gt; "", INDEX('SA PRE-APPROVAL FSMC CHECKLIST'!$B$6:$B$45,  SMALL( IF( 'SA PRE-APPROVAL FSMC CHECKLIST'!$D$6:$H$45 = $U$2, ROW('SA PRE-APPROVAL FSMC CHECKLIST'!$B$6:$B$45)-ROW('SA PRE-APPROVAL FSMC CHECKLIST'!$B$6)+1 ),  ROWS('SA PRE-APPROVAL FSMC CHECKLIST'!$B$6:$B41)) ),""), "")</f>
        <v/>
      </c>
      <c r="V39" s="56" t="str">
        <f>IFERROR(VLOOKUP(U39,'SA PRE-APPROVAL FSMC CHECKLIST'!$B:$H,9,0),"")</f>
        <v/>
      </c>
      <c r="W39" s="63"/>
      <c r="X39" s="63"/>
      <c r="Y39" s="64"/>
      <c r="Z39" s="56" t="str">
        <f t="array" ref="Z39">IFERROR(IF($Z$2 &lt;&gt; "", INDEX('SA PRE-APPROVAL FSMC CHECKLIST'!$B$6:$B$45,  SMALL( IF( 'SA PRE-APPROVAL FSMC CHECKLIST'!$D$6:$H$45 = $Z$2, ROW('SA PRE-APPROVAL FSMC CHECKLIST'!$B$6:$B$45)-ROW('SA PRE-APPROVAL FSMC CHECKLIST'!$B$6)+1 ),  ROWS('SA PRE-APPROVAL FSMC CHECKLIST'!$B$6:$B41)) ),""), "")</f>
        <v/>
      </c>
      <c r="AA39" s="56" t="str">
        <f>IFERROR(VLOOKUP(Z39,'SA PRE-APPROVAL FSMC CHECKLIST'!$B:$H,9,0),"")</f>
        <v/>
      </c>
      <c r="AB39" s="63"/>
      <c r="AC39" s="63"/>
      <c r="AD39" s="64"/>
      <c r="AE39" s="65"/>
      <c r="AF39" s="65"/>
      <c r="AG39" s="65"/>
      <c r="AH39" s="65"/>
      <c r="AI39" s="65"/>
      <c r="AJ39" s="65"/>
      <c r="AK39" s="65"/>
      <c r="AL39" s="65"/>
    </row>
    <row r="40" spans="1:38" s="66" customFormat="1" ht="94.5" x14ac:dyDescent="0.25">
      <c r="A40" s="56" t="str">
        <f t="array" ref="A40">IFERROR(IF($A$2 &lt;&gt; "", INDEX('SA PRE-APPROVAL FSMC CHECKLIST'!$B$6:$B$45,  SMALL( IF( 'SA PRE-APPROVAL FSMC CHECKLIST'!$D$6:$H$45 = $A$2, ROW('SA PRE-APPROVAL FSMC CHECKLIST'!$B$6:$B$45)-ROW('SA PRE-APPROVAL FSMC CHECKLIST'!$B$6)+1 ),  ROWS('SA PRE-APPROVAL FSMC CHECKLIST'!$B$6:$B42)) ),""), "")</f>
        <v xml:space="preserve">   f) Maintain applicable health certification and assure that all State and local regulations are being met by a FSMC preparing or serving meals at a school food authority facility?  [7 CFR 210.16(a)(7)]</v>
      </c>
      <c r="B40" s="56" t="str">
        <f>IFERROR(VLOOKUP(A40,'SA PRE-APPROVAL FSMC CHECKLIST'!$B:$H,9,0),"")</f>
        <v/>
      </c>
      <c r="C40" s="63"/>
      <c r="D40" s="63"/>
      <c r="E40" s="64"/>
      <c r="F40" s="56" t="str">
        <f t="array" ref="F40">IFERROR(IF($F$2 &lt;&gt; "", INDEX('SA PRE-APPROVAL FSMC CHECKLIST'!$B$6:$B$45,  SMALL( IF( 'SA PRE-APPROVAL FSMC CHECKLIST'!$D$6:$H$45 = $F$2, ROW('SA PRE-APPROVAL FSMC CHECKLIST'!$B$6:$B$45)-ROW('SA PRE-APPROVAL FSMC CHECKLIST'!$B$6)+1 ),  ROWS('SA PRE-APPROVAL FSMC CHECKLIST'!$B$6:$B42)) ),""), "")</f>
        <v/>
      </c>
      <c r="G40" s="56" t="str">
        <f>IFERROR(VLOOKUP(F40,'SA PRE-APPROVAL FSMC CHECKLIST'!$B:$H,9,0),"")</f>
        <v/>
      </c>
      <c r="H40" s="63"/>
      <c r="I40" s="63"/>
      <c r="J40" s="64"/>
      <c r="K40" s="56" t="str">
        <f t="array" ref="K40">IFERROR(IF($K$2 &lt;&gt; "", INDEX('SA PRE-APPROVAL FSMC CHECKLIST'!$B$6:$B$45,  SMALL( IF( 'SA PRE-APPROVAL FSMC CHECKLIST'!$D$6:$H$45 = $K$2, ROW('SA PRE-APPROVAL FSMC CHECKLIST'!$B$6:$B$45)-ROW('SA PRE-APPROVAL FSMC CHECKLIST'!$B$6)+1 ),  ROWS('SA PRE-APPROVAL FSMC CHECKLIST'!$B$6:$B42)) ),""), "")</f>
        <v/>
      </c>
      <c r="L40" s="56" t="str">
        <f>IFERROR(VLOOKUP(K40,'SA PRE-APPROVAL FSMC CHECKLIST'!$B:$H,9,0),"")</f>
        <v/>
      </c>
      <c r="M40" s="63"/>
      <c r="N40" s="63"/>
      <c r="O40" s="64"/>
      <c r="P40" s="56" t="str">
        <f t="array" ref="P40">IFERROR(IF($P$2 &lt;&gt; "", INDEX('SA PRE-APPROVAL FSMC CHECKLIST'!$B$6:$B$45,  SMALL( IF( 'SA PRE-APPROVAL FSMC CHECKLIST'!$D$6:$H$45 = $P$2, ROW('SA PRE-APPROVAL FSMC CHECKLIST'!$B$6:$B$45)-ROW('SA PRE-APPROVAL FSMC CHECKLIST'!$B$6)+1 ),  ROWS('SA PRE-APPROVAL FSMC CHECKLIST'!$B$6:$B42)) ),""), "")</f>
        <v/>
      </c>
      <c r="Q40" s="56" t="str">
        <f>IFERROR(VLOOKUP(P40,'SA PRE-APPROVAL FSMC CHECKLIST'!$B:$H,9,0),"")</f>
        <v/>
      </c>
      <c r="R40" s="63"/>
      <c r="S40" s="63"/>
      <c r="T40" s="64"/>
      <c r="U40" s="56" t="str">
        <f t="array" ref="U40">IFERROR(IF($U$2 &lt;&gt; "", INDEX('SA PRE-APPROVAL FSMC CHECKLIST'!$B$6:$B$45,  SMALL( IF( 'SA PRE-APPROVAL FSMC CHECKLIST'!$D$6:$H$45 = $U$2, ROW('SA PRE-APPROVAL FSMC CHECKLIST'!$B$6:$B$45)-ROW('SA PRE-APPROVAL FSMC CHECKLIST'!$B$6)+1 ),  ROWS('SA PRE-APPROVAL FSMC CHECKLIST'!$B$6:$B42)) ),""), "")</f>
        <v/>
      </c>
      <c r="V40" s="56" t="str">
        <f>IFERROR(VLOOKUP(U40,'SA PRE-APPROVAL FSMC CHECKLIST'!$B:$H,9,0),"")</f>
        <v/>
      </c>
      <c r="W40" s="63"/>
      <c r="X40" s="63"/>
      <c r="Y40" s="64"/>
      <c r="Z40" s="56" t="str">
        <f t="array" ref="Z40">IFERROR(IF($Z$2 &lt;&gt; "", INDEX('SA PRE-APPROVAL FSMC CHECKLIST'!$B$6:$B$45,  SMALL( IF( 'SA PRE-APPROVAL FSMC CHECKLIST'!$D$6:$H$45 = $Z$2, ROW('SA PRE-APPROVAL FSMC CHECKLIST'!$B$6:$B$45)-ROW('SA PRE-APPROVAL FSMC CHECKLIST'!$B$6)+1 ),  ROWS('SA PRE-APPROVAL FSMC CHECKLIST'!$B$6:$B42)) ),""), "")</f>
        <v/>
      </c>
      <c r="AA40" s="56" t="str">
        <f>IFERROR(VLOOKUP(Z40,'SA PRE-APPROVAL FSMC CHECKLIST'!$B:$H,9,0),"")</f>
        <v/>
      </c>
      <c r="AB40" s="63"/>
      <c r="AC40" s="63"/>
      <c r="AD40" s="64"/>
      <c r="AE40" s="65"/>
      <c r="AF40" s="65"/>
      <c r="AG40" s="65"/>
      <c r="AH40" s="65"/>
      <c r="AI40" s="65"/>
      <c r="AJ40" s="65"/>
      <c r="AK40" s="65"/>
      <c r="AL40" s="65"/>
    </row>
    <row r="41" spans="1:38" s="66" customFormat="1" ht="94.5" x14ac:dyDescent="0.25">
      <c r="A41" s="56" t="str">
        <f t="array" ref="A41">IFERROR(IF($A$2 &lt;&gt; "", INDEX('SA PRE-APPROVAL FSMC CHECKLIST'!$B$6:$B$45,  SMALL( IF( 'SA PRE-APPROVAL FSMC CHECKLIST'!$D$6:$H$45 = $A$2, ROW('SA PRE-APPROVAL FSMC CHECKLIST'!$B$6:$B$45)-ROW('SA PRE-APPROVAL FSMC CHECKLIST'!$B$6)+1 ),  ROWS('SA PRE-APPROVAL FSMC CHECKLIST'!$B$6:$B43)) ),""), "")</f>
        <v xml:space="preserve">   f) Maintain applicable health certification and assure that all State and local regulations are being met by a FSMC preparing or serving meals at a school food authority facility?  [7 CFR 210.16(a)(7)]</v>
      </c>
      <c r="B41" s="56" t="str">
        <f>IFERROR(VLOOKUP(A41,'SA PRE-APPROVAL FSMC CHECKLIST'!$B:$H,9,0),"")</f>
        <v/>
      </c>
      <c r="C41" s="63"/>
      <c r="D41" s="63"/>
      <c r="E41" s="64"/>
      <c r="F41" s="56" t="str">
        <f t="array" ref="F41">IFERROR(IF($F$2 &lt;&gt; "", INDEX('SA PRE-APPROVAL FSMC CHECKLIST'!$B$6:$B$45,  SMALL( IF( 'SA PRE-APPROVAL FSMC CHECKLIST'!$D$6:$H$45 = $F$2, ROW('SA PRE-APPROVAL FSMC CHECKLIST'!$B$6:$B$45)-ROW('SA PRE-APPROVAL FSMC CHECKLIST'!$B$6)+1 ),  ROWS('SA PRE-APPROVAL FSMC CHECKLIST'!$B$6:$B43)) ),""), "")</f>
        <v/>
      </c>
      <c r="G41" s="56" t="str">
        <f>IFERROR(VLOOKUP(F41,'SA PRE-APPROVAL FSMC CHECKLIST'!$B:$H,9,0),"")</f>
        <v/>
      </c>
      <c r="H41" s="63"/>
      <c r="I41" s="63"/>
      <c r="J41" s="64"/>
      <c r="K41" s="56" t="str">
        <f t="array" ref="K41">IFERROR(IF($K$2 &lt;&gt; "", INDEX('SA PRE-APPROVAL FSMC CHECKLIST'!$B$6:$B$45,  SMALL( IF( 'SA PRE-APPROVAL FSMC CHECKLIST'!$D$6:$H$45 = $K$2, ROW('SA PRE-APPROVAL FSMC CHECKLIST'!$B$6:$B$45)-ROW('SA PRE-APPROVAL FSMC CHECKLIST'!$B$6)+1 ),  ROWS('SA PRE-APPROVAL FSMC CHECKLIST'!$B$6:$B43)) ),""), "")</f>
        <v/>
      </c>
      <c r="L41" s="56" t="str">
        <f>IFERROR(VLOOKUP(K41,'SA PRE-APPROVAL FSMC CHECKLIST'!$B:$H,9,0),"")</f>
        <v/>
      </c>
      <c r="M41" s="63"/>
      <c r="N41" s="63"/>
      <c r="O41" s="64"/>
      <c r="P41" s="56" t="str">
        <f t="array" ref="P41">IFERROR(IF($P$2 &lt;&gt; "", INDEX('SA PRE-APPROVAL FSMC CHECKLIST'!$B$6:$B$45,  SMALL( IF( 'SA PRE-APPROVAL FSMC CHECKLIST'!$D$6:$H$45 = $P$2, ROW('SA PRE-APPROVAL FSMC CHECKLIST'!$B$6:$B$45)-ROW('SA PRE-APPROVAL FSMC CHECKLIST'!$B$6)+1 ),  ROWS('SA PRE-APPROVAL FSMC CHECKLIST'!$B$6:$B43)) ),""), "")</f>
        <v/>
      </c>
      <c r="Q41" s="56" t="str">
        <f>IFERROR(VLOOKUP(P41,'SA PRE-APPROVAL FSMC CHECKLIST'!$B:$H,9,0),"")</f>
        <v/>
      </c>
      <c r="R41" s="63"/>
      <c r="S41" s="63"/>
      <c r="T41" s="64"/>
      <c r="U41" s="56" t="str">
        <f t="array" ref="U41">IFERROR(IF($U$2 &lt;&gt; "", INDEX('SA PRE-APPROVAL FSMC CHECKLIST'!$B$6:$B$45,  SMALL( IF( 'SA PRE-APPROVAL FSMC CHECKLIST'!$D$6:$H$45 = $U$2, ROW('SA PRE-APPROVAL FSMC CHECKLIST'!$B$6:$B$45)-ROW('SA PRE-APPROVAL FSMC CHECKLIST'!$B$6)+1 ),  ROWS('SA PRE-APPROVAL FSMC CHECKLIST'!$B$6:$B43)) ),""), "")</f>
        <v/>
      </c>
      <c r="V41" s="56" t="str">
        <f>IFERROR(VLOOKUP(U41,'SA PRE-APPROVAL FSMC CHECKLIST'!$B:$H,9,0),"")</f>
        <v/>
      </c>
      <c r="W41" s="63"/>
      <c r="X41" s="63"/>
      <c r="Y41" s="64"/>
      <c r="Z41" s="56" t="str">
        <f t="array" ref="Z41">IFERROR(IF($Z$2 &lt;&gt; "", INDEX('SA PRE-APPROVAL FSMC CHECKLIST'!$B$6:$B$45,  SMALL( IF( 'SA PRE-APPROVAL FSMC CHECKLIST'!$D$6:$H$45 = $Z$2, ROW('SA PRE-APPROVAL FSMC CHECKLIST'!$B$6:$B$45)-ROW('SA PRE-APPROVAL FSMC CHECKLIST'!$B$6)+1 ),  ROWS('SA PRE-APPROVAL FSMC CHECKLIST'!$B$6:$B43)) ),""), "")</f>
        <v/>
      </c>
      <c r="AA41" s="56" t="str">
        <f>IFERROR(VLOOKUP(Z41,'SA PRE-APPROVAL FSMC CHECKLIST'!$B:$H,9,0),"")</f>
        <v/>
      </c>
      <c r="AB41" s="63"/>
      <c r="AC41" s="63"/>
      <c r="AD41" s="64"/>
      <c r="AE41" s="65"/>
      <c r="AF41" s="65"/>
      <c r="AG41" s="65"/>
      <c r="AH41" s="65"/>
      <c r="AI41" s="65"/>
      <c r="AJ41" s="65"/>
      <c r="AK41" s="65"/>
      <c r="AL41" s="65"/>
    </row>
    <row r="42" spans="1:38" s="66" customFormat="1" ht="94.5" x14ac:dyDescent="0.25">
      <c r="A42" s="56" t="str">
        <f t="array" ref="A42">IFERROR(IF($A$2 &lt;&gt; "", INDEX('SA PRE-APPROVAL FSMC CHECKLIST'!$B$6:$B$45,  SMALL( IF( 'SA PRE-APPROVAL FSMC CHECKLIST'!$D$6:$H$45 = $A$2, ROW('SA PRE-APPROVAL FSMC CHECKLIST'!$B$6:$B$45)-ROW('SA PRE-APPROVAL FSMC CHECKLIST'!$B$6)+1 ),  ROWS('SA PRE-APPROVAL FSMC CHECKLIST'!$B$6:$B44)) ),""), "")</f>
        <v xml:space="preserve">   f) Maintain applicable health certification and assure that all State and local regulations are being met by a FSMC preparing or serving meals at a school food authority facility?  [7 CFR 210.16(a)(7)]</v>
      </c>
      <c r="B42" s="56" t="str">
        <f>IFERROR(VLOOKUP(A42,'SA PRE-APPROVAL FSMC CHECKLIST'!$B:$H,9,0),"")</f>
        <v/>
      </c>
      <c r="C42" s="63"/>
      <c r="D42" s="63"/>
      <c r="E42" s="64"/>
      <c r="F42" s="56" t="str">
        <f t="array" ref="F42">IFERROR(IF($F$2 &lt;&gt; "", INDEX('SA PRE-APPROVAL FSMC CHECKLIST'!$B$6:$B$45,  SMALL( IF( 'SA PRE-APPROVAL FSMC CHECKLIST'!$D$6:$H$45 = $F$2, ROW('SA PRE-APPROVAL FSMC CHECKLIST'!$B$6:$B$45)-ROW('SA PRE-APPROVAL FSMC CHECKLIST'!$B$6)+1 ),  ROWS('SA PRE-APPROVAL FSMC CHECKLIST'!$B$6:$B44)) ),""), "")</f>
        <v/>
      </c>
      <c r="G42" s="56" t="str">
        <f>IFERROR(VLOOKUP(F42,'SA PRE-APPROVAL FSMC CHECKLIST'!$B:$H,9,0),"")</f>
        <v/>
      </c>
      <c r="H42" s="63"/>
      <c r="I42" s="63"/>
      <c r="J42" s="64"/>
      <c r="K42" s="56" t="str">
        <f t="array" ref="K42">IFERROR(IF($K$2 &lt;&gt; "", INDEX('SA PRE-APPROVAL FSMC CHECKLIST'!$B$6:$B$45,  SMALL( IF( 'SA PRE-APPROVAL FSMC CHECKLIST'!$D$6:$H$45 = $K$2, ROW('SA PRE-APPROVAL FSMC CHECKLIST'!$B$6:$B$45)-ROW('SA PRE-APPROVAL FSMC CHECKLIST'!$B$6)+1 ),  ROWS('SA PRE-APPROVAL FSMC CHECKLIST'!$B$6:$B44)) ),""), "")</f>
        <v/>
      </c>
      <c r="L42" s="56" t="str">
        <f>IFERROR(VLOOKUP(K42,'SA PRE-APPROVAL FSMC CHECKLIST'!$B:$H,9,0),"")</f>
        <v/>
      </c>
      <c r="M42" s="63"/>
      <c r="N42" s="63"/>
      <c r="O42" s="64"/>
      <c r="P42" s="56" t="str">
        <f t="array" ref="P42">IFERROR(IF($P$2 &lt;&gt; "", INDEX('SA PRE-APPROVAL FSMC CHECKLIST'!$B$6:$B$45,  SMALL( IF( 'SA PRE-APPROVAL FSMC CHECKLIST'!$D$6:$H$45 = $P$2, ROW('SA PRE-APPROVAL FSMC CHECKLIST'!$B$6:$B$45)-ROW('SA PRE-APPROVAL FSMC CHECKLIST'!$B$6)+1 ),  ROWS('SA PRE-APPROVAL FSMC CHECKLIST'!$B$6:$B44)) ),""), "")</f>
        <v/>
      </c>
      <c r="Q42" s="56" t="str">
        <f>IFERROR(VLOOKUP(P42,'SA PRE-APPROVAL FSMC CHECKLIST'!$B:$H,9,0),"")</f>
        <v/>
      </c>
      <c r="R42" s="63"/>
      <c r="S42" s="63"/>
      <c r="T42" s="64"/>
      <c r="U42" s="56" t="str">
        <f t="array" ref="U42">IFERROR(IF($U$2 &lt;&gt; "", INDEX('SA PRE-APPROVAL FSMC CHECKLIST'!$B$6:$B$45,  SMALL( IF( 'SA PRE-APPROVAL FSMC CHECKLIST'!$D$6:$H$45 = $U$2, ROW('SA PRE-APPROVAL FSMC CHECKLIST'!$B$6:$B$45)-ROW('SA PRE-APPROVAL FSMC CHECKLIST'!$B$6)+1 ),  ROWS('SA PRE-APPROVAL FSMC CHECKLIST'!$B$6:$B44)) ),""), "")</f>
        <v/>
      </c>
      <c r="V42" s="56" t="str">
        <f>IFERROR(VLOOKUP(U42,'SA PRE-APPROVAL FSMC CHECKLIST'!$B:$H,9,0),"")</f>
        <v/>
      </c>
      <c r="W42" s="63"/>
      <c r="X42" s="63"/>
      <c r="Y42" s="64"/>
      <c r="Z42" s="56" t="str">
        <f t="array" ref="Z42">IFERROR(IF($Z$2 &lt;&gt; "", INDEX('SA PRE-APPROVAL FSMC CHECKLIST'!$B$6:$B$45,  SMALL( IF( 'SA PRE-APPROVAL FSMC CHECKLIST'!$D$6:$H$45 = $Z$2, ROW('SA PRE-APPROVAL FSMC CHECKLIST'!$B$6:$B$45)-ROW('SA PRE-APPROVAL FSMC CHECKLIST'!$B$6)+1 ),  ROWS('SA PRE-APPROVAL FSMC CHECKLIST'!$B$6:$B44)) ),""), "")</f>
        <v/>
      </c>
      <c r="AA42" s="56" t="str">
        <f>IFERROR(VLOOKUP(Z42,'SA PRE-APPROVAL FSMC CHECKLIST'!$B:$H,9,0),"")</f>
        <v/>
      </c>
      <c r="AB42" s="63"/>
      <c r="AC42" s="63"/>
      <c r="AD42" s="64"/>
      <c r="AE42" s="65"/>
      <c r="AF42" s="65"/>
      <c r="AG42" s="65"/>
      <c r="AH42" s="65"/>
      <c r="AI42" s="65"/>
      <c r="AJ42" s="65"/>
      <c r="AK42" s="65"/>
      <c r="AL42" s="65"/>
    </row>
    <row r="43" spans="1:38" ht="63" x14ac:dyDescent="0.25">
      <c r="A43" s="56" t="str">
        <f t="array" ref="A43">IFERROR(IF($A$2 &lt;&gt; "", INDEX('SA PRE-APPROVAL FSMC CHECKLIST'!$B$6:$B$45,  SMALL( IF( 'SA PRE-APPROVAL FSMC CHECKLIST'!$D$6:$H$45 = $A$2, ROW('SA PRE-APPROVAL FSMC CHECKLIST'!$B$6:$B$45)-ROW('SA PRE-APPROVAL FSMC CHECKLIST'!$B$6)+1 ),  ROWS('SA PRE-APPROVAL FSMC CHECKLIST'!$B$6:$B45)) ),""), "")</f>
        <v xml:space="preserve">   g) Establish an advisory board composed of parents, teachers, and students to assist in menu planning?  [7 CFR 210.16(a)(8)]</v>
      </c>
      <c r="B43" s="56" t="str">
        <f>IFERROR(VLOOKUP(A43,'SA PRE-APPROVAL FSMC CHECKLIST'!$B:$H,9,0),"")</f>
        <v/>
      </c>
      <c r="C43" s="63"/>
      <c r="D43" s="63"/>
      <c r="E43" s="64"/>
      <c r="F43" s="56" t="str">
        <f t="array" ref="F43">IFERROR(IF($F$2 &lt;&gt; "", INDEX('SA PRE-APPROVAL FSMC CHECKLIST'!$B$6:$B$45,  SMALL( IF( 'SA PRE-APPROVAL FSMC CHECKLIST'!$D$6:$H$45 = $F$2, ROW('SA PRE-APPROVAL FSMC CHECKLIST'!$B$6:$B$45)-ROW('SA PRE-APPROVAL FSMC CHECKLIST'!$B$6)+1 ),  ROWS('SA PRE-APPROVAL FSMC CHECKLIST'!$B$6:$B45)) ),""), "")</f>
        <v/>
      </c>
      <c r="G43" s="56" t="str">
        <f>IFERROR(VLOOKUP(F43,'SA PRE-APPROVAL FSMC CHECKLIST'!$B:$H,9,0),"")</f>
        <v/>
      </c>
      <c r="H43" s="63"/>
      <c r="I43" s="63"/>
      <c r="J43" s="64"/>
      <c r="K43" s="56" t="str">
        <f t="array" ref="K43">IFERROR(IF($K$2 &lt;&gt; "", INDEX('SA PRE-APPROVAL FSMC CHECKLIST'!$B$6:$B$45,  SMALL( IF( 'SA PRE-APPROVAL FSMC CHECKLIST'!$D$6:$H$45 = $K$2, ROW('SA PRE-APPROVAL FSMC CHECKLIST'!$B$6:$B$45)-ROW('SA PRE-APPROVAL FSMC CHECKLIST'!$B$6)+1 ),  ROWS('SA PRE-APPROVAL FSMC CHECKLIST'!$B$6:$B45)) ),""), "")</f>
        <v/>
      </c>
      <c r="L43" s="56" t="str">
        <f>IFERROR(VLOOKUP(K43,'SA PRE-APPROVAL FSMC CHECKLIST'!$B:$H,9,0),"")</f>
        <v/>
      </c>
      <c r="M43" s="63"/>
      <c r="N43" s="63"/>
      <c r="O43" s="64"/>
      <c r="P43" s="56" t="str">
        <f t="array" ref="P43">IFERROR(IF($P$2 &lt;&gt; "", INDEX('SA PRE-APPROVAL FSMC CHECKLIST'!$B$6:$B$45,  SMALL( IF( 'SA PRE-APPROVAL FSMC CHECKLIST'!$D$6:$H$45 = $P$2, ROW('SA PRE-APPROVAL FSMC CHECKLIST'!$B$6:$B$45)-ROW('SA PRE-APPROVAL FSMC CHECKLIST'!$B$6)+1 ),  ROWS('SA PRE-APPROVAL FSMC CHECKLIST'!$B$6:$B45)) ),""), "")</f>
        <v/>
      </c>
      <c r="Q43" s="56" t="str">
        <f>IFERROR(VLOOKUP(P43,'SA PRE-APPROVAL FSMC CHECKLIST'!$B:$H,9,0),"")</f>
        <v/>
      </c>
      <c r="R43" s="63"/>
      <c r="S43" s="63"/>
      <c r="T43" s="64"/>
      <c r="U43" s="56" t="str">
        <f t="array" ref="U43">IFERROR(IF($U$2 &lt;&gt; "", INDEX('SA PRE-APPROVAL FSMC CHECKLIST'!$B$6:$B$45,  SMALL( IF( 'SA PRE-APPROVAL FSMC CHECKLIST'!$D$6:$H$45 = $U$2, ROW('SA PRE-APPROVAL FSMC CHECKLIST'!$B$6:$B$45)-ROW('SA PRE-APPROVAL FSMC CHECKLIST'!$B$6)+1 ),  ROWS('SA PRE-APPROVAL FSMC CHECKLIST'!$B$6:$B45)) ),""), "")</f>
        <v/>
      </c>
      <c r="V43" s="56" t="str">
        <f>IFERROR(VLOOKUP(U43,'SA PRE-APPROVAL FSMC CHECKLIST'!$B:$H,9,0),"")</f>
        <v/>
      </c>
      <c r="W43" s="63"/>
      <c r="X43" s="63"/>
      <c r="Y43" s="58"/>
      <c r="Z43" s="56" t="str">
        <f t="array" ref="Z43">IFERROR(IF($Z$2 &lt;&gt; "", INDEX('SA PRE-APPROVAL FSMC CHECKLIST'!$B$6:$B$45,  SMALL( IF( 'SA PRE-APPROVAL FSMC CHECKLIST'!$D$6:$H$45 = $Z$2, ROW('SA PRE-APPROVAL FSMC CHECKLIST'!$B$6:$B$45)-ROW('SA PRE-APPROVAL FSMC CHECKLIST'!$B$6)+1 ),  ROWS('SA PRE-APPROVAL FSMC CHECKLIST'!$B$6:$B45)) ),""), "")</f>
        <v/>
      </c>
      <c r="AA43" s="56" t="str">
        <f>IFERROR(VLOOKUP(Z43,'SA PRE-APPROVAL FSMC CHECKLIST'!$B:$H,9,0),"")</f>
        <v/>
      </c>
      <c r="AB43" s="63"/>
      <c r="AC43" s="63"/>
      <c r="AD43" s="58"/>
    </row>
    <row r="44" spans="1:38"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spans="1:38"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row>
    <row r="46" spans="1:38" s="59" customFormat="1" x14ac:dyDescent="0.2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row>
    <row r="47" spans="1:38" s="59" customFormat="1" x14ac:dyDescent="0.2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row>
    <row r="48" spans="1:38" s="59" customFormat="1" x14ac:dyDescent="0.25"/>
    <row r="49" s="59" customFormat="1" x14ac:dyDescent="0.25"/>
    <row r="50" s="59" customFormat="1" x14ac:dyDescent="0.25"/>
    <row r="51" s="59" customFormat="1" x14ac:dyDescent="0.25"/>
    <row r="52" s="59" customFormat="1" x14ac:dyDescent="0.25"/>
    <row r="53" s="59" customFormat="1" x14ac:dyDescent="0.25"/>
    <row r="54" s="59" customFormat="1" x14ac:dyDescent="0.25"/>
    <row r="55" s="59" customFormat="1" x14ac:dyDescent="0.25"/>
    <row r="56" s="59" customFormat="1" x14ac:dyDescent="0.25"/>
    <row r="57" s="59" customFormat="1" x14ac:dyDescent="0.25"/>
    <row r="58" s="59" customFormat="1" x14ac:dyDescent="0.25"/>
    <row r="59" s="59" customFormat="1" x14ac:dyDescent="0.25"/>
    <row r="60" s="59" customFormat="1" x14ac:dyDescent="0.25"/>
    <row r="61" s="59" customFormat="1" x14ac:dyDescent="0.25"/>
    <row r="62" s="59" customFormat="1" x14ac:dyDescent="0.25"/>
    <row r="63" s="59" customFormat="1" x14ac:dyDescent="0.25"/>
    <row r="64" s="59" customFormat="1" x14ac:dyDescent="0.25"/>
    <row r="65" s="59" customFormat="1" x14ac:dyDescent="0.25"/>
    <row r="66" s="59" customFormat="1" x14ac:dyDescent="0.25"/>
    <row r="67" s="59" customFormat="1" x14ac:dyDescent="0.25"/>
    <row r="68" s="59" customFormat="1" x14ac:dyDescent="0.25"/>
    <row r="69" s="59" customFormat="1" x14ac:dyDescent="0.25"/>
    <row r="70" s="59" customFormat="1" x14ac:dyDescent="0.25"/>
    <row r="71" s="59" customFormat="1" x14ac:dyDescent="0.25"/>
    <row r="72" s="59" customFormat="1" x14ac:dyDescent="0.25"/>
    <row r="73" s="59" customFormat="1" x14ac:dyDescent="0.25"/>
    <row r="74" s="59" customFormat="1" x14ac:dyDescent="0.25"/>
    <row r="75" s="59" customFormat="1" x14ac:dyDescent="0.25"/>
    <row r="76" s="59" customFormat="1" x14ac:dyDescent="0.25"/>
    <row r="77" s="59" customFormat="1" x14ac:dyDescent="0.25"/>
    <row r="78" s="59" customFormat="1" x14ac:dyDescent="0.25"/>
    <row r="79" s="59" customFormat="1" x14ac:dyDescent="0.25"/>
    <row r="80" s="59" customFormat="1" x14ac:dyDescent="0.25"/>
    <row r="81" s="59" customFormat="1" x14ac:dyDescent="0.25"/>
    <row r="82" s="59" customFormat="1" x14ac:dyDescent="0.25"/>
  </sheetData>
  <mergeCells count="7">
    <mergeCell ref="A1:AD1"/>
    <mergeCell ref="A2:D2"/>
    <mergeCell ref="F2:I2"/>
    <mergeCell ref="K2:N2"/>
    <mergeCell ref="P2:S2"/>
    <mergeCell ref="U2:X2"/>
    <mergeCell ref="Z2:AC2"/>
  </mergeCells>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tabColor theme="9" tint="0.39997558519241921"/>
  </sheetPr>
  <dimension ref="A1:A194"/>
  <sheetViews>
    <sheetView zoomScaleNormal="100" workbookViewId="0">
      <selection activeCell="A7" sqref="A7"/>
    </sheetView>
  </sheetViews>
  <sheetFormatPr defaultRowHeight="15" x14ac:dyDescent="0.25"/>
  <cols>
    <col min="1" max="1" width="171.42578125" customWidth="1"/>
  </cols>
  <sheetData>
    <row r="1" spans="1:1" ht="18" x14ac:dyDescent="0.25">
      <c r="A1" s="27" t="s">
        <v>768</v>
      </c>
    </row>
    <row r="2" spans="1:1" x14ac:dyDescent="0.25">
      <c r="A2" s="32" t="s">
        <v>179</v>
      </c>
    </row>
    <row r="3" spans="1:1" x14ac:dyDescent="0.25">
      <c r="A3" s="28"/>
    </row>
    <row r="4" spans="1:1" x14ac:dyDescent="0.25">
      <c r="A4" s="28" t="s">
        <v>85</v>
      </c>
    </row>
    <row r="5" spans="1:1" ht="42.75" x14ac:dyDescent="0.25">
      <c r="A5" s="30" t="s">
        <v>86</v>
      </c>
    </row>
    <row r="6" spans="1:1" x14ac:dyDescent="0.25">
      <c r="A6" s="29"/>
    </row>
    <row r="7" spans="1:1" x14ac:dyDescent="0.25">
      <c r="A7" s="28" t="s">
        <v>87</v>
      </c>
    </row>
    <row r="8" spans="1:1" x14ac:dyDescent="0.25">
      <c r="A8" s="29"/>
    </row>
    <row r="9" spans="1:1" ht="28.5" x14ac:dyDescent="0.25">
      <c r="A9" s="30" t="s">
        <v>88</v>
      </c>
    </row>
    <row r="10" spans="1:1" x14ac:dyDescent="0.25">
      <c r="A10" s="29"/>
    </row>
    <row r="11" spans="1:1" ht="28.5" x14ac:dyDescent="0.25">
      <c r="A11" s="30" t="s">
        <v>89</v>
      </c>
    </row>
    <row r="12" spans="1:1" x14ac:dyDescent="0.25">
      <c r="A12" s="29"/>
    </row>
    <row r="13" spans="1:1" ht="114" x14ac:dyDescent="0.25">
      <c r="A13" s="30" t="s">
        <v>90</v>
      </c>
    </row>
    <row r="14" spans="1:1" x14ac:dyDescent="0.25">
      <c r="A14" s="29"/>
    </row>
    <row r="15" spans="1:1" ht="42.75" x14ac:dyDescent="0.25">
      <c r="A15" s="30" t="s">
        <v>91</v>
      </c>
    </row>
    <row r="16" spans="1:1" x14ac:dyDescent="0.25">
      <c r="A16" s="29"/>
    </row>
    <row r="17" spans="1:1" ht="42.75" x14ac:dyDescent="0.25">
      <c r="A17" s="30" t="s">
        <v>92</v>
      </c>
    </row>
    <row r="18" spans="1:1" x14ac:dyDescent="0.25">
      <c r="A18" s="29"/>
    </row>
    <row r="19" spans="1:1" ht="42.75" x14ac:dyDescent="0.25">
      <c r="A19" s="30" t="s">
        <v>93</v>
      </c>
    </row>
    <row r="20" spans="1:1" x14ac:dyDescent="0.25">
      <c r="A20" s="29"/>
    </row>
    <row r="21" spans="1:1" ht="28.5" x14ac:dyDescent="0.25">
      <c r="A21" s="30" t="s">
        <v>94</v>
      </c>
    </row>
    <row r="22" spans="1:1" x14ac:dyDescent="0.25">
      <c r="A22" s="29"/>
    </row>
    <row r="23" spans="1:1" ht="28.5" x14ac:dyDescent="0.25">
      <c r="A23" s="30" t="s">
        <v>95</v>
      </c>
    </row>
    <row r="24" spans="1:1" x14ac:dyDescent="0.25">
      <c r="A24" s="29"/>
    </row>
    <row r="25" spans="1:1" ht="42.75" x14ac:dyDescent="0.25">
      <c r="A25" s="30" t="s">
        <v>96</v>
      </c>
    </row>
    <row r="26" spans="1:1" x14ac:dyDescent="0.25">
      <c r="A26" s="29"/>
    </row>
    <row r="27" spans="1:1" ht="28.5" x14ac:dyDescent="0.25">
      <c r="A27" s="30" t="s">
        <v>97</v>
      </c>
    </row>
    <row r="28" spans="1:1" x14ac:dyDescent="0.25">
      <c r="A28" s="29"/>
    </row>
    <row r="29" spans="1:1" ht="28.5" x14ac:dyDescent="0.25">
      <c r="A29" s="30" t="s">
        <v>98</v>
      </c>
    </row>
    <row r="30" spans="1:1" x14ac:dyDescent="0.25">
      <c r="A30" s="29"/>
    </row>
    <row r="31" spans="1:1" x14ac:dyDescent="0.25">
      <c r="A31" s="30" t="s">
        <v>99</v>
      </c>
    </row>
    <row r="32" spans="1:1" x14ac:dyDescent="0.25">
      <c r="A32" s="29"/>
    </row>
    <row r="33" spans="1:1" x14ac:dyDescent="0.25">
      <c r="A33" s="30" t="s">
        <v>100</v>
      </c>
    </row>
    <row r="34" spans="1:1" x14ac:dyDescent="0.25">
      <c r="A34" s="29"/>
    </row>
    <row r="35" spans="1:1" ht="42.75" x14ac:dyDescent="0.25">
      <c r="A35" s="30" t="s">
        <v>101</v>
      </c>
    </row>
    <row r="36" spans="1:1" x14ac:dyDescent="0.25">
      <c r="A36" s="29"/>
    </row>
    <row r="37" spans="1:1" ht="57" x14ac:dyDescent="0.25">
      <c r="A37" s="30" t="s">
        <v>102</v>
      </c>
    </row>
    <row r="38" spans="1:1" x14ac:dyDescent="0.25">
      <c r="A38" s="29"/>
    </row>
    <row r="39" spans="1:1" x14ac:dyDescent="0.25">
      <c r="A39" s="28" t="s">
        <v>103</v>
      </c>
    </row>
    <row r="40" spans="1:1" x14ac:dyDescent="0.25">
      <c r="A40" s="29"/>
    </row>
    <row r="41" spans="1:1" ht="42.75" x14ac:dyDescent="0.25">
      <c r="A41" s="30" t="s">
        <v>104</v>
      </c>
    </row>
    <row r="42" spans="1:1" x14ac:dyDescent="0.25">
      <c r="A42" s="29"/>
    </row>
    <row r="43" spans="1:1" x14ac:dyDescent="0.25">
      <c r="A43" s="30" t="s">
        <v>105</v>
      </c>
    </row>
    <row r="44" spans="1:1" x14ac:dyDescent="0.25">
      <c r="A44" s="29"/>
    </row>
    <row r="45" spans="1:1" x14ac:dyDescent="0.25">
      <c r="A45" s="30" t="s">
        <v>106</v>
      </c>
    </row>
    <row r="46" spans="1:1" x14ac:dyDescent="0.25">
      <c r="A46" s="29"/>
    </row>
    <row r="47" spans="1:1" x14ac:dyDescent="0.25">
      <c r="A47" s="30" t="s">
        <v>107</v>
      </c>
    </row>
    <row r="48" spans="1:1" x14ac:dyDescent="0.25">
      <c r="A48" s="29"/>
    </row>
    <row r="49" spans="1:1" x14ac:dyDescent="0.25">
      <c r="A49" s="30" t="s">
        <v>108</v>
      </c>
    </row>
    <row r="50" spans="1:1" x14ac:dyDescent="0.25">
      <c r="A50" s="29"/>
    </row>
    <row r="51" spans="1:1" x14ac:dyDescent="0.25">
      <c r="A51" s="30" t="s">
        <v>109</v>
      </c>
    </row>
    <row r="52" spans="1:1" x14ac:dyDescent="0.25">
      <c r="A52" s="29"/>
    </row>
    <row r="53" spans="1:1" ht="28.5" x14ac:dyDescent="0.25">
      <c r="A53" s="30" t="s">
        <v>110</v>
      </c>
    </row>
    <row r="54" spans="1:1" x14ac:dyDescent="0.25">
      <c r="A54" s="29"/>
    </row>
    <row r="55" spans="1:1" x14ac:dyDescent="0.25">
      <c r="A55" s="30" t="s">
        <v>111</v>
      </c>
    </row>
    <row r="56" spans="1:1" x14ac:dyDescent="0.25">
      <c r="A56" s="29"/>
    </row>
    <row r="57" spans="1:1" ht="57" x14ac:dyDescent="0.25">
      <c r="A57" s="30" t="s">
        <v>112</v>
      </c>
    </row>
    <row r="58" spans="1:1" x14ac:dyDescent="0.25">
      <c r="A58" s="29"/>
    </row>
    <row r="59" spans="1:1" x14ac:dyDescent="0.25">
      <c r="A59" s="30" t="s">
        <v>113</v>
      </c>
    </row>
    <row r="60" spans="1:1" x14ac:dyDescent="0.25">
      <c r="A60" s="29"/>
    </row>
    <row r="61" spans="1:1" ht="85.5" x14ac:dyDescent="0.25">
      <c r="A61" s="30" t="s">
        <v>114</v>
      </c>
    </row>
    <row r="62" spans="1:1" x14ac:dyDescent="0.25">
      <c r="A62" s="29"/>
    </row>
    <row r="63" spans="1:1" x14ac:dyDescent="0.25">
      <c r="A63" s="30" t="s">
        <v>115</v>
      </c>
    </row>
    <row r="64" spans="1:1" x14ac:dyDescent="0.25">
      <c r="A64" s="29"/>
    </row>
    <row r="65" spans="1:1" ht="28.5" x14ac:dyDescent="0.25">
      <c r="A65" s="30" t="s">
        <v>116</v>
      </c>
    </row>
    <row r="66" spans="1:1" x14ac:dyDescent="0.25">
      <c r="A66" s="29"/>
    </row>
    <row r="67" spans="1:1" x14ac:dyDescent="0.25">
      <c r="A67" s="31" t="s">
        <v>117</v>
      </c>
    </row>
    <row r="68" spans="1:1" x14ac:dyDescent="0.25">
      <c r="A68" s="29"/>
    </row>
    <row r="69" spans="1:1" x14ac:dyDescent="0.25">
      <c r="A69" s="28" t="s">
        <v>118</v>
      </c>
    </row>
    <row r="70" spans="1:1" x14ac:dyDescent="0.25">
      <c r="A70" s="29"/>
    </row>
    <row r="71" spans="1:1" x14ac:dyDescent="0.25">
      <c r="A71" s="30" t="s">
        <v>119</v>
      </c>
    </row>
    <row r="72" spans="1:1" x14ac:dyDescent="0.25">
      <c r="A72" s="29"/>
    </row>
    <row r="73" spans="1:1" ht="42.75" x14ac:dyDescent="0.25">
      <c r="A73" s="30" t="s">
        <v>120</v>
      </c>
    </row>
    <row r="74" spans="1:1" x14ac:dyDescent="0.25">
      <c r="A74" s="29"/>
    </row>
    <row r="75" spans="1:1" ht="42.75" x14ac:dyDescent="0.25">
      <c r="A75" s="30" t="s">
        <v>121</v>
      </c>
    </row>
    <row r="76" spans="1:1" x14ac:dyDescent="0.25">
      <c r="A76" s="29"/>
    </row>
    <row r="77" spans="1:1" ht="42.75" x14ac:dyDescent="0.25">
      <c r="A77" s="30" t="s">
        <v>122</v>
      </c>
    </row>
    <row r="78" spans="1:1" x14ac:dyDescent="0.25">
      <c r="A78" s="29"/>
    </row>
    <row r="79" spans="1:1" x14ac:dyDescent="0.25">
      <c r="A79" s="30" t="s">
        <v>123</v>
      </c>
    </row>
    <row r="80" spans="1:1" x14ac:dyDescent="0.25">
      <c r="A80" s="29"/>
    </row>
    <row r="81" spans="1:1" x14ac:dyDescent="0.25">
      <c r="A81" s="30" t="s">
        <v>124</v>
      </c>
    </row>
    <row r="82" spans="1:1" x14ac:dyDescent="0.25">
      <c r="A82" s="29"/>
    </row>
    <row r="83" spans="1:1" x14ac:dyDescent="0.25">
      <c r="A83" s="30" t="s">
        <v>125</v>
      </c>
    </row>
    <row r="84" spans="1:1" x14ac:dyDescent="0.25">
      <c r="A84" s="29"/>
    </row>
    <row r="85" spans="1:1" x14ac:dyDescent="0.25">
      <c r="A85" s="30" t="s">
        <v>126</v>
      </c>
    </row>
    <row r="86" spans="1:1" x14ac:dyDescent="0.25">
      <c r="A86" s="29"/>
    </row>
    <row r="87" spans="1:1" x14ac:dyDescent="0.25">
      <c r="A87" s="30" t="s">
        <v>127</v>
      </c>
    </row>
    <row r="88" spans="1:1" x14ac:dyDescent="0.25">
      <c r="A88" s="29"/>
    </row>
    <row r="89" spans="1:1" ht="28.5" x14ac:dyDescent="0.25">
      <c r="A89" s="30" t="s">
        <v>128</v>
      </c>
    </row>
    <row r="90" spans="1:1" x14ac:dyDescent="0.25">
      <c r="A90" s="29"/>
    </row>
    <row r="91" spans="1:1" x14ac:dyDescent="0.25">
      <c r="A91" s="30" t="s">
        <v>129</v>
      </c>
    </row>
    <row r="92" spans="1:1" x14ac:dyDescent="0.25">
      <c r="A92" s="29"/>
    </row>
    <row r="93" spans="1:1" x14ac:dyDescent="0.25">
      <c r="A93" s="30" t="s">
        <v>130</v>
      </c>
    </row>
    <row r="94" spans="1:1" x14ac:dyDescent="0.25">
      <c r="A94" s="29"/>
    </row>
    <row r="95" spans="1:1" ht="42.75" x14ac:dyDescent="0.25">
      <c r="A95" s="30" t="s">
        <v>131</v>
      </c>
    </row>
    <row r="96" spans="1:1" x14ac:dyDescent="0.25">
      <c r="A96" s="29"/>
    </row>
    <row r="97" spans="1:1" x14ac:dyDescent="0.25">
      <c r="A97" s="30" t="s">
        <v>132</v>
      </c>
    </row>
    <row r="98" spans="1:1" x14ac:dyDescent="0.25">
      <c r="A98" s="29"/>
    </row>
    <row r="99" spans="1:1" ht="42.75" x14ac:dyDescent="0.25">
      <c r="A99" s="30" t="s">
        <v>133</v>
      </c>
    </row>
    <row r="100" spans="1:1" x14ac:dyDescent="0.25">
      <c r="A100" s="29"/>
    </row>
    <row r="101" spans="1:1" ht="28.5" x14ac:dyDescent="0.25">
      <c r="A101" s="30" t="s">
        <v>134</v>
      </c>
    </row>
    <row r="102" spans="1:1" x14ac:dyDescent="0.25">
      <c r="A102" s="29"/>
    </row>
    <row r="103" spans="1:1" x14ac:dyDescent="0.25">
      <c r="A103" s="30" t="s">
        <v>135</v>
      </c>
    </row>
    <row r="104" spans="1:1" x14ac:dyDescent="0.25">
      <c r="A104" s="29"/>
    </row>
    <row r="105" spans="1:1" x14ac:dyDescent="0.25">
      <c r="A105" s="779" t="s">
        <v>136</v>
      </c>
    </row>
    <row r="106" spans="1:1" x14ac:dyDescent="0.25">
      <c r="A106" s="779"/>
    </row>
    <row r="107" spans="1:1" x14ac:dyDescent="0.25">
      <c r="A107" s="50"/>
    </row>
    <row r="108" spans="1:1" x14ac:dyDescent="0.25">
      <c r="A108" s="30" t="s">
        <v>137</v>
      </c>
    </row>
    <row r="109" spans="1:1" x14ac:dyDescent="0.25">
      <c r="A109" s="29"/>
    </row>
    <row r="110" spans="1:1" ht="57" x14ac:dyDescent="0.25">
      <c r="A110" s="30" t="s">
        <v>138</v>
      </c>
    </row>
    <row r="111" spans="1:1" x14ac:dyDescent="0.25">
      <c r="A111" s="29"/>
    </row>
    <row r="112" spans="1:1" x14ac:dyDescent="0.25">
      <c r="A112" s="30" t="s">
        <v>139</v>
      </c>
    </row>
    <row r="113" spans="1:1" x14ac:dyDescent="0.25">
      <c r="A113" s="29"/>
    </row>
    <row r="114" spans="1:1" ht="28.5" x14ac:dyDescent="0.25">
      <c r="A114" s="30" t="s">
        <v>140</v>
      </c>
    </row>
    <row r="115" spans="1:1" x14ac:dyDescent="0.25">
      <c r="A115" s="29"/>
    </row>
    <row r="116" spans="1:1" x14ac:dyDescent="0.25">
      <c r="A116" s="30" t="s">
        <v>141</v>
      </c>
    </row>
    <row r="117" spans="1:1" x14ac:dyDescent="0.25">
      <c r="A117" s="29"/>
    </row>
    <row r="118" spans="1:1" x14ac:dyDescent="0.25">
      <c r="A118" s="30" t="s">
        <v>142</v>
      </c>
    </row>
    <row r="119" spans="1:1" x14ac:dyDescent="0.25">
      <c r="A119" s="29"/>
    </row>
    <row r="120" spans="1:1" x14ac:dyDescent="0.25">
      <c r="A120" s="30" t="s">
        <v>143</v>
      </c>
    </row>
    <row r="121" spans="1:1" x14ac:dyDescent="0.25">
      <c r="A121" s="29"/>
    </row>
    <row r="122" spans="1:1" x14ac:dyDescent="0.25">
      <c r="A122" s="30" t="s">
        <v>144</v>
      </c>
    </row>
    <row r="123" spans="1:1" x14ac:dyDescent="0.25">
      <c r="A123" s="29"/>
    </row>
    <row r="124" spans="1:1" x14ac:dyDescent="0.25">
      <c r="A124" s="31" t="s">
        <v>117</v>
      </c>
    </row>
    <row r="125" spans="1:1" x14ac:dyDescent="0.25">
      <c r="A125" s="29"/>
    </row>
    <row r="126" spans="1:1" x14ac:dyDescent="0.25">
      <c r="A126" s="28" t="s">
        <v>145</v>
      </c>
    </row>
    <row r="127" spans="1:1" x14ac:dyDescent="0.25">
      <c r="A127" s="29"/>
    </row>
    <row r="128" spans="1:1" ht="28.5" x14ac:dyDescent="0.25">
      <c r="A128" s="30" t="s">
        <v>146</v>
      </c>
    </row>
    <row r="129" spans="1:1" x14ac:dyDescent="0.25">
      <c r="A129" s="29"/>
    </row>
    <row r="130" spans="1:1" x14ac:dyDescent="0.25">
      <c r="A130" s="30" t="s">
        <v>147</v>
      </c>
    </row>
    <row r="131" spans="1:1" x14ac:dyDescent="0.25">
      <c r="A131" s="29"/>
    </row>
    <row r="132" spans="1:1" x14ac:dyDescent="0.25">
      <c r="A132" s="30" t="s">
        <v>148</v>
      </c>
    </row>
    <row r="133" spans="1:1" x14ac:dyDescent="0.25">
      <c r="A133" s="29"/>
    </row>
    <row r="134" spans="1:1" x14ac:dyDescent="0.25">
      <c r="A134" s="30" t="s">
        <v>149</v>
      </c>
    </row>
    <row r="135" spans="1:1" x14ac:dyDescent="0.25">
      <c r="A135" s="29"/>
    </row>
    <row r="136" spans="1:1" ht="28.5" x14ac:dyDescent="0.25">
      <c r="A136" s="30" t="s">
        <v>150</v>
      </c>
    </row>
    <row r="137" spans="1:1" x14ac:dyDescent="0.25">
      <c r="A137" s="29"/>
    </row>
    <row r="138" spans="1:1" x14ac:dyDescent="0.25">
      <c r="A138" s="30" t="s">
        <v>151</v>
      </c>
    </row>
    <row r="139" spans="1:1" x14ac:dyDescent="0.25">
      <c r="A139" s="29"/>
    </row>
    <row r="140" spans="1:1" ht="28.5" x14ac:dyDescent="0.25">
      <c r="A140" s="30" t="s">
        <v>152</v>
      </c>
    </row>
    <row r="141" spans="1:1" x14ac:dyDescent="0.25">
      <c r="A141" s="29"/>
    </row>
    <row r="142" spans="1:1" x14ac:dyDescent="0.25">
      <c r="A142" s="30" t="s">
        <v>153</v>
      </c>
    </row>
    <row r="143" spans="1:1" x14ac:dyDescent="0.25">
      <c r="A143" s="29"/>
    </row>
    <row r="144" spans="1:1" x14ac:dyDescent="0.25">
      <c r="A144" s="28" t="s">
        <v>154</v>
      </c>
    </row>
    <row r="145" spans="1:1" x14ac:dyDescent="0.25">
      <c r="A145" s="29"/>
    </row>
    <row r="146" spans="1:1" ht="85.5" x14ac:dyDescent="0.25">
      <c r="A146" s="30" t="s">
        <v>155</v>
      </c>
    </row>
    <row r="147" spans="1:1" x14ac:dyDescent="0.25">
      <c r="A147" s="29"/>
    </row>
    <row r="148" spans="1:1" x14ac:dyDescent="0.25">
      <c r="A148" s="31" t="s">
        <v>117</v>
      </c>
    </row>
    <row r="149" spans="1:1" x14ac:dyDescent="0.25">
      <c r="A149" s="29"/>
    </row>
    <row r="150" spans="1:1" x14ac:dyDescent="0.25">
      <c r="A150" s="28" t="s">
        <v>156</v>
      </c>
    </row>
    <row r="151" spans="1:1" x14ac:dyDescent="0.25">
      <c r="A151" s="29"/>
    </row>
    <row r="152" spans="1:1" ht="42.75" x14ac:dyDescent="0.25">
      <c r="A152" s="30" t="s">
        <v>157</v>
      </c>
    </row>
    <row r="153" spans="1:1" x14ac:dyDescent="0.25">
      <c r="A153" s="29"/>
    </row>
    <row r="154" spans="1:1" ht="42.75" x14ac:dyDescent="0.25">
      <c r="A154" s="30" t="s">
        <v>158</v>
      </c>
    </row>
    <row r="155" spans="1:1" x14ac:dyDescent="0.25">
      <c r="A155" s="29"/>
    </row>
    <row r="156" spans="1:1" ht="42.75" x14ac:dyDescent="0.25">
      <c r="A156" s="30" t="s">
        <v>159</v>
      </c>
    </row>
    <row r="157" spans="1:1" x14ac:dyDescent="0.25">
      <c r="A157" s="29"/>
    </row>
    <row r="158" spans="1:1" x14ac:dyDescent="0.25">
      <c r="A158" s="30" t="s">
        <v>160</v>
      </c>
    </row>
    <row r="159" spans="1:1" x14ac:dyDescent="0.25">
      <c r="A159" s="29"/>
    </row>
    <row r="160" spans="1:1" x14ac:dyDescent="0.25">
      <c r="A160" s="28" t="s">
        <v>161</v>
      </c>
    </row>
    <row r="161" spans="1:1" x14ac:dyDescent="0.25">
      <c r="A161" s="29"/>
    </row>
    <row r="162" spans="1:1" ht="71.25" x14ac:dyDescent="0.25">
      <c r="A162" s="30" t="s">
        <v>162</v>
      </c>
    </row>
    <row r="163" spans="1:1" x14ac:dyDescent="0.25">
      <c r="A163" s="29"/>
    </row>
    <row r="164" spans="1:1" ht="28.5" x14ac:dyDescent="0.25">
      <c r="A164" s="30" t="s">
        <v>163</v>
      </c>
    </row>
    <row r="165" spans="1:1" x14ac:dyDescent="0.25">
      <c r="A165" s="29"/>
    </row>
    <row r="166" spans="1:1" x14ac:dyDescent="0.25">
      <c r="A166" s="30" t="s">
        <v>164</v>
      </c>
    </row>
    <row r="167" spans="1:1" x14ac:dyDescent="0.25">
      <c r="A167" s="29"/>
    </row>
    <row r="168" spans="1:1" ht="28.5" x14ac:dyDescent="0.25">
      <c r="A168" s="30" t="s">
        <v>165</v>
      </c>
    </row>
    <row r="169" spans="1:1" x14ac:dyDescent="0.25">
      <c r="A169" s="29"/>
    </row>
    <row r="170" spans="1:1" x14ac:dyDescent="0.25">
      <c r="A170" s="30" t="s">
        <v>166</v>
      </c>
    </row>
    <row r="171" spans="1:1" x14ac:dyDescent="0.25">
      <c r="A171" s="29"/>
    </row>
    <row r="172" spans="1:1" x14ac:dyDescent="0.25">
      <c r="A172" s="30" t="s">
        <v>167</v>
      </c>
    </row>
    <row r="173" spans="1:1" x14ac:dyDescent="0.25">
      <c r="A173" s="29"/>
    </row>
    <row r="174" spans="1:1" x14ac:dyDescent="0.25">
      <c r="A174" s="30" t="s">
        <v>168</v>
      </c>
    </row>
    <row r="175" spans="1:1" x14ac:dyDescent="0.25">
      <c r="A175" s="29"/>
    </row>
    <row r="176" spans="1:1" ht="28.5" x14ac:dyDescent="0.25">
      <c r="A176" s="30" t="s">
        <v>169</v>
      </c>
    </row>
    <row r="177" spans="1:1" x14ac:dyDescent="0.25">
      <c r="A177" s="29"/>
    </row>
    <row r="178" spans="1:1" ht="42.75" x14ac:dyDescent="0.25">
      <c r="A178" s="30" t="s">
        <v>170</v>
      </c>
    </row>
    <row r="179" spans="1:1" x14ac:dyDescent="0.25">
      <c r="A179" s="29"/>
    </row>
    <row r="180" spans="1:1" ht="42.75" x14ac:dyDescent="0.25">
      <c r="A180" s="30" t="s">
        <v>171</v>
      </c>
    </row>
    <row r="181" spans="1:1" x14ac:dyDescent="0.25">
      <c r="A181" s="29"/>
    </row>
    <row r="182" spans="1:1" x14ac:dyDescent="0.25">
      <c r="A182" s="28" t="s">
        <v>172</v>
      </c>
    </row>
    <row r="183" spans="1:1" x14ac:dyDescent="0.25">
      <c r="A183" s="29"/>
    </row>
    <row r="184" spans="1:1" ht="42.75" x14ac:dyDescent="0.25">
      <c r="A184" s="30" t="s">
        <v>173</v>
      </c>
    </row>
    <row r="185" spans="1:1" x14ac:dyDescent="0.25">
      <c r="A185" s="29"/>
    </row>
    <row r="186" spans="1:1" ht="42.75" x14ac:dyDescent="0.25">
      <c r="A186" s="30" t="s">
        <v>174</v>
      </c>
    </row>
    <row r="187" spans="1:1" x14ac:dyDescent="0.25">
      <c r="A187" s="29"/>
    </row>
    <row r="188" spans="1:1" ht="28.5" x14ac:dyDescent="0.25">
      <c r="A188" s="30" t="s">
        <v>175</v>
      </c>
    </row>
    <row r="189" spans="1:1" x14ac:dyDescent="0.25">
      <c r="A189" s="29"/>
    </row>
    <row r="190" spans="1:1" ht="28.5" x14ac:dyDescent="0.25">
      <c r="A190" s="30" t="s">
        <v>176</v>
      </c>
    </row>
    <row r="191" spans="1:1" x14ac:dyDescent="0.25">
      <c r="A191" s="29"/>
    </row>
    <row r="192" spans="1:1" x14ac:dyDescent="0.25">
      <c r="A192" s="28" t="s">
        <v>177</v>
      </c>
    </row>
    <row r="193" spans="1:1" x14ac:dyDescent="0.25">
      <c r="A193" s="29"/>
    </row>
    <row r="194" spans="1:1" ht="28.5" x14ac:dyDescent="0.25">
      <c r="A194" s="30" t="s">
        <v>178</v>
      </c>
    </row>
  </sheetData>
  <mergeCells count="1">
    <mergeCell ref="A105:A106"/>
  </mergeCells>
  <hyperlinks>
    <hyperlink ref="A2" r:id="rId1" display="here"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theme="9" tint="0.39997558519241921"/>
  </sheetPr>
  <dimension ref="A1:A72"/>
  <sheetViews>
    <sheetView workbookViewId="0">
      <selection activeCell="A29" sqref="A29"/>
    </sheetView>
  </sheetViews>
  <sheetFormatPr defaultRowHeight="15" x14ac:dyDescent="0.25"/>
  <cols>
    <col min="1" max="1" width="100.42578125" style="2" customWidth="1"/>
  </cols>
  <sheetData>
    <row r="1" spans="1:1" ht="30" x14ac:dyDescent="0.25">
      <c r="A1" s="23" t="s">
        <v>755</v>
      </c>
    </row>
    <row r="2" spans="1:1" x14ac:dyDescent="0.25">
      <c r="A2" s="24"/>
    </row>
    <row r="3" spans="1:1" ht="43.5" x14ac:dyDescent="0.25">
      <c r="A3" s="24" t="s">
        <v>756</v>
      </c>
    </row>
    <row r="4" spans="1:1" x14ac:dyDescent="0.25">
      <c r="A4" s="24"/>
    </row>
    <row r="5" spans="1:1" ht="75" x14ac:dyDescent="0.25">
      <c r="A5" s="23" t="s">
        <v>757</v>
      </c>
    </row>
    <row r="6" spans="1:1" x14ac:dyDescent="0.25">
      <c r="A6" s="24"/>
    </row>
    <row r="7" spans="1:1" ht="30" x14ac:dyDescent="0.25">
      <c r="A7" s="24" t="s">
        <v>760</v>
      </c>
    </row>
    <row r="8" spans="1:1" x14ac:dyDescent="0.25">
      <c r="A8" s="24"/>
    </row>
    <row r="9" spans="1:1" ht="101.25" x14ac:dyDescent="0.25">
      <c r="A9" s="24" t="s">
        <v>761</v>
      </c>
    </row>
    <row r="10" spans="1:1" x14ac:dyDescent="0.25">
      <c r="A10" s="23"/>
    </row>
    <row r="11" spans="1:1" ht="258" x14ac:dyDescent="0.25">
      <c r="A11" s="24" t="s">
        <v>762</v>
      </c>
    </row>
    <row r="12" spans="1:1" x14ac:dyDescent="0.25">
      <c r="A12" s="24"/>
    </row>
    <row r="13" spans="1:1" ht="172.5" x14ac:dyDescent="0.25">
      <c r="A13" s="24" t="s">
        <v>763</v>
      </c>
    </row>
    <row r="14" spans="1:1" x14ac:dyDescent="0.25">
      <c r="A14" s="24"/>
    </row>
    <row r="15" spans="1:1" ht="115.5" x14ac:dyDescent="0.25">
      <c r="A15" s="24" t="s">
        <v>764</v>
      </c>
    </row>
    <row r="16" spans="1:1" x14ac:dyDescent="0.25">
      <c r="A16" s="24"/>
    </row>
    <row r="17" spans="1:1" ht="87.75" x14ac:dyDescent="0.25">
      <c r="A17" s="24" t="s">
        <v>765</v>
      </c>
    </row>
    <row r="18" spans="1:1" x14ac:dyDescent="0.25">
      <c r="A18" s="24"/>
    </row>
    <row r="19" spans="1:1" ht="100.5" x14ac:dyDescent="0.25">
      <c r="A19" s="24" t="s">
        <v>758</v>
      </c>
    </row>
    <row r="20" spans="1:1" x14ac:dyDescent="0.25">
      <c r="A20" s="24"/>
    </row>
    <row r="21" spans="1:1" ht="116.25" x14ac:dyDescent="0.25">
      <c r="A21" s="24" t="s">
        <v>766</v>
      </c>
    </row>
    <row r="22" spans="1:1" x14ac:dyDescent="0.25">
      <c r="A22" s="24"/>
    </row>
    <row r="23" spans="1:1" x14ac:dyDescent="0.25">
      <c r="A23" s="24" t="s">
        <v>759</v>
      </c>
    </row>
    <row r="24" spans="1:1" x14ac:dyDescent="0.25">
      <c r="A24" s="23"/>
    </row>
    <row r="25" spans="1:1" x14ac:dyDescent="0.25">
      <c r="A25" s="24"/>
    </row>
    <row r="26" spans="1:1" x14ac:dyDescent="0.25">
      <c r="A26" s="24"/>
    </row>
    <row r="27" spans="1:1" x14ac:dyDescent="0.25">
      <c r="A27" s="24"/>
    </row>
    <row r="28" spans="1:1" x14ac:dyDescent="0.25">
      <c r="A28" s="24"/>
    </row>
    <row r="29" spans="1:1" x14ac:dyDescent="0.25">
      <c r="A29" s="24"/>
    </row>
    <row r="30" spans="1:1" x14ac:dyDescent="0.25">
      <c r="A30" s="23"/>
    </row>
    <row r="31" spans="1:1" x14ac:dyDescent="0.25">
      <c r="A31" s="23"/>
    </row>
    <row r="32" spans="1:1" x14ac:dyDescent="0.25">
      <c r="A32" s="24"/>
    </row>
    <row r="33" spans="1:1" x14ac:dyDescent="0.25">
      <c r="A33" s="24"/>
    </row>
    <row r="34" spans="1:1" x14ac:dyDescent="0.25">
      <c r="A34" s="24"/>
    </row>
    <row r="35" spans="1:1" x14ac:dyDescent="0.25">
      <c r="A35" s="24"/>
    </row>
    <row r="36" spans="1:1" x14ac:dyDescent="0.25">
      <c r="A36" s="23"/>
    </row>
    <row r="37" spans="1:1" x14ac:dyDescent="0.25">
      <c r="A37" s="23"/>
    </row>
    <row r="38" spans="1:1" x14ac:dyDescent="0.25">
      <c r="A38" s="24"/>
    </row>
    <row r="39" spans="1:1" x14ac:dyDescent="0.25">
      <c r="A39" s="24"/>
    </row>
    <row r="40" spans="1:1" x14ac:dyDescent="0.25">
      <c r="A40" s="24"/>
    </row>
    <row r="41" spans="1:1" x14ac:dyDescent="0.25">
      <c r="A41" s="25"/>
    </row>
    <row r="42" spans="1:1" x14ac:dyDescent="0.25">
      <c r="A42" s="24"/>
    </row>
    <row r="43" spans="1:1" x14ac:dyDescent="0.25">
      <c r="A43" s="24"/>
    </row>
    <row r="44" spans="1:1" x14ac:dyDescent="0.25">
      <c r="A44" s="24"/>
    </row>
    <row r="45" spans="1:1" x14ac:dyDescent="0.25">
      <c r="A45" s="24"/>
    </row>
    <row r="46" spans="1:1" x14ac:dyDescent="0.25">
      <c r="A46" s="24"/>
    </row>
    <row r="47" spans="1:1" x14ac:dyDescent="0.25">
      <c r="A47" s="24"/>
    </row>
    <row r="48" spans="1:1"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6"/>
    </row>
    <row r="59" spans="1:1" x14ac:dyDescent="0.25">
      <c r="A59" s="26"/>
    </row>
    <row r="60" spans="1:1" x14ac:dyDescent="0.25">
      <c r="A60" s="25"/>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9" tint="0.39997558519241921"/>
  </sheetPr>
  <dimension ref="A1:A80"/>
  <sheetViews>
    <sheetView workbookViewId="0">
      <selection activeCell="A5" sqref="A5"/>
    </sheetView>
  </sheetViews>
  <sheetFormatPr defaultRowHeight="15" x14ac:dyDescent="0.25"/>
  <cols>
    <col min="1" max="1" width="100.42578125" customWidth="1"/>
  </cols>
  <sheetData>
    <row r="1" spans="1:1" x14ac:dyDescent="0.25">
      <c r="A1" s="20" t="s">
        <v>723</v>
      </c>
    </row>
    <row r="2" spans="1:1" x14ac:dyDescent="0.25">
      <c r="A2" s="20"/>
    </row>
    <row r="3" spans="1:1" ht="24.75" x14ac:dyDescent="0.25">
      <c r="A3" s="21" t="s">
        <v>724</v>
      </c>
    </row>
    <row r="4" spans="1:1" x14ac:dyDescent="0.25">
      <c r="A4" s="20"/>
    </row>
    <row r="5" spans="1:1" x14ac:dyDescent="0.25">
      <c r="A5" s="22"/>
    </row>
    <row r="6" spans="1:1" x14ac:dyDescent="0.25">
      <c r="A6" s="22"/>
    </row>
    <row r="7" spans="1:1" x14ac:dyDescent="0.25">
      <c r="A7" s="529" t="s">
        <v>725</v>
      </c>
    </row>
    <row r="8" spans="1:1" x14ac:dyDescent="0.25">
      <c r="A8" s="22"/>
    </row>
    <row r="9" spans="1:1" ht="24.75" x14ac:dyDescent="0.25">
      <c r="A9" s="22" t="s">
        <v>726</v>
      </c>
    </row>
    <row r="10" spans="1:1" x14ac:dyDescent="0.25">
      <c r="A10" s="22"/>
    </row>
    <row r="11" spans="1:1" x14ac:dyDescent="0.25">
      <c r="A11" s="22" t="s">
        <v>727</v>
      </c>
    </row>
    <row r="12" spans="1:1" x14ac:dyDescent="0.25">
      <c r="A12" s="22"/>
    </row>
    <row r="13" spans="1:1" ht="24.75" x14ac:dyDescent="0.25">
      <c r="A13" s="22" t="s">
        <v>728</v>
      </c>
    </row>
    <row r="14" spans="1:1" x14ac:dyDescent="0.25">
      <c r="A14" s="22"/>
    </row>
    <row r="15" spans="1:1" ht="30" x14ac:dyDescent="0.25">
      <c r="A15" s="2" t="s">
        <v>729</v>
      </c>
    </row>
    <row r="16" spans="1:1" x14ac:dyDescent="0.25">
      <c r="A16" s="21"/>
    </row>
    <row r="17" spans="1:1" ht="24.75" x14ac:dyDescent="0.25">
      <c r="A17" s="22" t="s">
        <v>730</v>
      </c>
    </row>
    <row r="18" spans="1:1" x14ac:dyDescent="0.25">
      <c r="A18" s="22"/>
    </row>
    <row r="19" spans="1:1" ht="24.75" x14ac:dyDescent="0.25">
      <c r="A19" s="22" t="s">
        <v>731</v>
      </c>
    </row>
    <row r="20" spans="1:1" x14ac:dyDescent="0.25">
      <c r="A20" s="22"/>
    </row>
    <row r="21" spans="1:1" ht="24.75" x14ac:dyDescent="0.25">
      <c r="A21" s="22" t="s">
        <v>732</v>
      </c>
    </row>
    <row r="22" spans="1:1" x14ac:dyDescent="0.25">
      <c r="A22" s="2"/>
    </row>
    <row r="23" spans="1:1" ht="24.75" x14ac:dyDescent="0.25">
      <c r="A23" s="21" t="s">
        <v>733</v>
      </c>
    </row>
    <row r="24" spans="1:1" x14ac:dyDescent="0.25">
      <c r="A24" s="22"/>
    </row>
    <row r="25" spans="1:1" x14ac:dyDescent="0.25">
      <c r="A25" s="22"/>
    </row>
    <row r="26" spans="1:1" x14ac:dyDescent="0.25">
      <c r="A26" s="22"/>
    </row>
    <row r="27" spans="1:1" x14ac:dyDescent="0.25">
      <c r="A27" s="529" t="s">
        <v>734</v>
      </c>
    </row>
    <row r="28" spans="1:1" x14ac:dyDescent="0.25">
      <c r="A28" s="2"/>
    </row>
    <row r="29" spans="1:1" ht="48.75" x14ac:dyDescent="0.25">
      <c r="A29" s="20" t="s">
        <v>735</v>
      </c>
    </row>
    <row r="30" spans="1:1" x14ac:dyDescent="0.25">
      <c r="A30" s="22"/>
    </row>
    <row r="31" spans="1:1" ht="24.75" x14ac:dyDescent="0.25">
      <c r="A31" s="22" t="s">
        <v>736</v>
      </c>
    </row>
    <row r="32" spans="1:1" x14ac:dyDescent="0.25">
      <c r="A32" s="21"/>
    </row>
    <row r="33" spans="1:1" ht="24.75" x14ac:dyDescent="0.25">
      <c r="A33" s="21" t="s">
        <v>737</v>
      </c>
    </row>
    <row r="34" spans="1:1" x14ac:dyDescent="0.25">
      <c r="A34" s="21"/>
    </row>
    <row r="35" spans="1:1" x14ac:dyDescent="0.25">
      <c r="A35" s="21" t="s">
        <v>738</v>
      </c>
    </row>
    <row r="36" spans="1:1" x14ac:dyDescent="0.25">
      <c r="A36" s="21"/>
    </row>
    <row r="37" spans="1:1" ht="36.75" x14ac:dyDescent="0.25">
      <c r="A37" s="21" t="s">
        <v>739</v>
      </c>
    </row>
    <row r="38" spans="1:1" x14ac:dyDescent="0.25">
      <c r="A38" s="22"/>
    </row>
    <row r="39" spans="1:1" ht="24.75" x14ac:dyDescent="0.25">
      <c r="A39" s="22" t="s">
        <v>740</v>
      </c>
    </row>
    <row r="40" spans="1:1" x14ac:dyDescent="0.25">
      <c r="A40" s="22"/>
    </row>
    <row r="41" spans="1:1" x14ac:dyDescent="0.25">
      <c r="A41" s="22"/>
    </row>
    <row r="42" spans="1:1" x14ac:dyDescent="0.25">
      <c r="A42" s="2"/>
    </row>
    <row r="43" spans="1:1" x14ac:dyDescent="0.25">
      <c r="A43" s="21"/>
    </row>
    <row r="44" spans="1:1" x14ac:dyDescent="0.25">
      <c r="A44" s="21"/>
    </row>
    <row r="45" spans="1:1" x14ac:dyDescent="0.25">
      <c r="A45" s="20" t="s">
        <v>741</v>
      </c>
    </row>
    <row r="46" spans="1:1" x14ac:dyDescent="0.25">
      <c r="A46" s="21"/>
    </row>
    <row r="47" spans="1:1" ht="36.75" x14ac:dyDescent="0.25">
      <c r="A47" s="21" t="s">
        <v>742</v>
      </c>
    </row>
    <row r="48" spans="1:1" x14ac:dyDescent="0.25">
      <c r="A48" s="22"/>
    </row>
    <row r="49" spans="1:1" x14ac:dyDescent="0.25">
      <c r="A49" s="22" t="s">
        <v>743</v>
      </c>
    </row>
    <row r="50" spans="1:1" x14ac:dyDescent="0.25">
      <c r="A50" s="2"/>
    </row>
    <row r="51" spans="1:1" ht="24.75" x14ac:dyDescent="0.25">
      <c r="A51" s="21" t="s">
        <v>744</v>
      </c>
    </row>
    <row r="52" spans="1:1" x14ac:dyDescent="0.25">
      <c r="A52" s="21"/>
    </row>
    <row r="53" spans="1:1" ht="24.75" x14ac:dyDescent="0.25">
      <c r="A53" s="21" t="s">
        <v>745</v>
      </c>
    </row>
    <row r="54" spans="1:1" x14ac:dyDescent="0.25">
      <c r="A54" s="21"/>
    </row>
    <row r="55" spans="1:1" s="2" customFormat="1" ht="45" x14ac:dyDescent="0.25">
      <c r="A55" s="2" t="s">
        <v>746</v>
      </c>
    </row>
    <row r="56" spans="1:1" s="2" customFormat="1" x14ac:dyDescent="0.25"/>
    <row r="57" spans="1:1" s="2" customFormat="1" ht="90" x14ac:dyDescent="0.25">
      <c r="A57" s="2" t="s">
        <v>747</v>
      </c>
    </row>
    <row r="58" spans="1:1" s="2" customFormat="1" x14ac:dyDescent="0.25"/>
    <row r="59" spans="1:1" s="2" customFormat="1" ht="150" x14ac:dyDescent="0.25">
      <c r="A59" s="2" t="s">
        <v>748</v>
      </c>
    </row>
    <row r="60" spans="1:1" s="2" customFormat="1" x14ac:dyDescent="0.25"/>
    <row r="61" spans="1:1" s="2" customFormat="1" ht="45" x14ac:dyDescent="0.25">
      <c r="A61" s="2" t="s">
        <v>749</v>
      </c>
    </row>
    <row r="62" spans="1:1" s="2" customFormat="1" x14ac:dyDescent="0.25"/>
    <row r="63" spans="1:1" s="2" customFormat="1" x14ac:dyDescent="0.25"/>
    <row r="64" spans="1:1" s="2" customFormat="1" x14ac:dyDescent="0.25"/>
    <row r="65" spans="1:1" s="2" customFormat="1" x14ac:dyDescent="0.25"/>
    <row r="66" spans="1:1" s="2" customFormat="1" x14ac:dyDescent="0.25"/>
    <row r="67" spans="1:1" s="2" customFormat="1" x14ac:dyDescent="0.25">
      <c r="A67" s="441" t="s">
        <v>750</v>
      </c>
    </row>
    <row r="68" spans="1:1" s="2" customFormat="1" x14ac:dyDescent="0.25"/>
    <row r="69" spans="1:1" s="2" customFormat="1" ht="90" x14ac:dyDescent="0.25">
      <c r="A69" s="2" t="s">
        <v>751</v>
      </c>
    </row>
    <row r="70" spans="1:1" s="2" customFormat="1" x14ac:dyDescent="0.25"/>
    <row r="71" spans="1:1" s="2" customFormat="1" ht="90" x14ac:dyDescent="0.25">
      <c r="A71" s="2" t="s">
        <v>752</v>
      </c>
    </row>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c r="A77" s="441" t="s">
        <v>753</v>
      </c>
    </row>
    <row r="78" spans="1:1" s="2" customFormat="1" x14ac:dyDescent="0.25"/>
    <row r="79" spans="1:1" s="2" customFormat="1" ht="120" x14ac:dyDescent="0.25">
      <c r="A79" s="2" t="s">
        <v>754</v>
      </c>
    </row>
    <row r="80" spans="1:1" s="2" customFormat="1"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
    <tabColor theme="9" tint="0.39997558519241921"/>
  </sheetPr>
  <dimension ref="A1:A40"/>
  <sheetViews>
    <sheetView showGridLines="0" workbookViewId="0">
      <selection activeCell="A34" sqref="A34"/>
    </sheetView>
  </sheetViews>
  <sheetFormatPr defaultColWidth="9.140625" defaultRowHeight="15.75" x14ac:dyDescent="0.25"/>
  <cols>
    <col min="1" max="1" width="183.42578125" style="3" customWidth="1"/>
  </cols>
  <sheetData>
    <row r="1" spans="1:1" s="17" customFormat="1" ht="45.75" customHeight="1" x14ac:dyDescent="0.3">
      <c r="A1" s="16" t="s">
        <v>79</v>
      </c>
    </row>
    <row r="2" spans="1:1" x14ac:dyDescent="0.25">
      <c r="A2" s="5" t="s">
        <v>37</v>
      </c>
    </row>
    <row r="3" spans="1:1" x14ac:dyDescent="0.25">
      <c r="A3" s="4"/>
    </row>
    <row r="4" spans="1:1" ht="63" x14ac:dyDescent="0.25">
      <c r="A4" s="4" t="s">
        <v>36</v>
      </c>
    </row>
    <row r="5" spans="1:1" x14ac:dyDescent="0.25">
      <c r="A5" s="4"/>
    </row>
    <row r="6" spans="1:1" x14ac:dyDescent="0.25">
      <c r="A6" s="4" t="s">
        <v>35</v>
      </c>
    </row>
    <row r="7" spans="1:1" x14ac:dyDescent="0.25">
      <c r="A7" s="4"/>
    </row>
    <row r="8" spans="1:1" x14ac:dyDescent="0.25">
      <c r="A8" s="4" t="s">
        <v>34</v>
      </c>
    </row>
    <row r="9" spans="1:1" x14ac:dyDescent="0.25">
      <c r="A9" s="4"/>
    </row>
    <row r="10" spans="1:1" x14ac:dyDescent="0.25">
      <c r="A10" s="4" t="s">
        <v>33</v>
      </c>
    </row>
    <row r="11" spans="1:1" x14ac:dyDescent="0.25">
      <c r="A11" s="4"/>
    </row>
    <row r="12" spans="1:1" x14ac:dyDescent="0.25">
      <c r="A12" s="4" t="s">
        <v>32</v>
      </c>
    </row>
    <row r="13" spans="1:1" x14ac:dyDescent="0.25">
      <c r="A13" s="4"/>
    </row>
    <row r="14" spans="1:1" x14ac:dyDescent="0.25">
      <c r="A14" s="4" t="s">
        <v>31</v>
      </c>
    </row>
    <row r="15" spans="1:1" x14ac:dyDescent="0.25">
      <c r="A15" s="4"/>
    </row>
    <row r="16" spans="1:1" ht="31.5" x14ac:dyDescent="0.25">
      <c r="A16" s="4" t="s">
        <v>30</v>
      </c>
    </row>
    <row r="17" spans="1:1" x14ac:dyDescent="0.25">
      <c r="A17" s="4"/>
    </row>
    <row r="18" spans="1:1" ht="31.5" x14ac:dyDescent="0.25">
      <c r="A18" s="4" t="s">
        <v>29</v>
      </c>
    </row>
    <row r="19" spans="1:1" x14ac:dyDescent="0.25">
      <c r="A19" s="4"/>
    </row>
    <row r="20" spans="1:1" x14ac:dyDescent="0.25">
      <c r="A20" s="4" t="s">
        <v>28</v>
      </c>
    </row>
    <row r="21" spans="1:1" x14ac:dyDescent="0.25">
      <c r="A21" s="4"/>
    </row>
    <row r="22" spans="1:1" ht="31.5" x14ac:dyDescent="0.25">
      <c r="A22" s="4" t="s">
        <v>27</v>
      </c>
    </row>
    <row r="23" spans="1:1" x14ac:dyDescent="0.25">
      <c r="A23" s="4"/>
    </row>
    <row r="24" spans="1:1" ht="78.75" x14ac:dyDescent="0.25">
      <c r="A24" s="4" t="s">
        <v>26</v>
      </c>
    </row>
    <row r="25" spans="1:1" x14ac:dyDescent="0.25">
      <c r="A25" s="4"/>
    </row>
    <row r="26" spans="1:1" x14ac:dyDescent="0.25">
      <c r="A26" s="4" t="s">
        <v>25</v>
      </c>
    </row>
    <row r="27" spans="1:1" x14ac:dyDescent="0.25">
      <c r="A27" s="4"/>
    </row>
    <row r="28" spans="1:1" ht="63" x14ac:dyDescent="0.25">
      <c r="A28" s="4" t="s">
        <v>24</v>
      </c>
    </row>
    <row r="29" spans="1:1" x14ac:dyDescent="0.25">
      <c r="A29" s="4"/>
    </row>
    <row r="30" spans="1:1" ht="31.5" x14ac:dyDescent="0.25">
      <c r="A30" s="4" t="s">
        <v>23</v>
      </c>
    </row>
    <row r="31" spans="1:1" x14ac:dyDescent="0.25">
      <c r="A31" s="4"/>
    </row>
    <row r="32" spans="1:1" ht="47.25" x14ac:dyDescent="0.25">
      <c r="A32" s="4" t="s">
        <v>22</v>
      </c>
    </row>
    <row r="33" spans="1:1" x14ac:dyDescent="0.25">
      <c r="A33" s="4"/>
    </row>
    <row r="34" spans="1:1" ht="47.25" x14ac:dyDescent="0.25">
      <c r="A34" s="4" t="s">
        <v>21</v>
      </c>
    </row>
    <row r="35" spans="1:1" x14ac:dyDescent="0.25">
      <c r="A35" s="4"/>
    </row>
    <row r="36" spans="1:1" ht="31.5" x14ac:dyDescent="0.25">
      <c r="A36" s="4" t="s">
        <v>20</v>
      </c>
    </row>
    <row r="37" spans="1:1" x14ac:dyDescent="0.25">
      <c r="A37" s="4"/>
    </row>
    <row r="38" spans="1:1" ht="47.25" x14ac:dyDescent="0.25">
      <c r="A38" s="4" t="s">
        <v>19</v>
      </c>
    </row>
    <row r="39" spans="1:1" x14ac:dyDescent="0.25">
      <c r="A39" s="4"/>
    </row>
    <row r="40" spans="1:1" ht="47.25" x14ac:dyDescent="0.25">
      <c r="A40" s="4" t="s">
        <v>18</v>
      </c>
    </row>
  </sheetData>
  <hyperlinks>
    <hyperlink ref="A1" r:id="rId1" location="sp7.4.210.a" xr:uid="{00000000-0004-0000-1900-000000000000}"/>
  </hyperlinks>
  <pageMargins left="0.7" right="0.7" top="0.75" bottom="0.75" header="0.3" footer="0.3"/>
  <pageSetup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9" tint="0.39997558519241921"/>
  </sheetPr>
  <dimension ref="A1:A63"/>
  <sheetViews>
    <sheetView showGridLines="0" workbookViewId="0">
      <selection activeCell="A41" sqref="A41"/>
    </sheetView>
  </sheetViews>
  <sheetFormatPr defaultRowHeight="15" x14ac:dyDescent="0.25"/>
  <cols>
    <col min="1" max="1" width="213.5703125" customWidth="1"/>
  </cols>
  <sheetData>
    <row r="1" spans="1:1" ht="18.75" x14ac:dyDescent="0.25">
      <c r="A1" s="18" t="s">
        <v>79</v>
      </c>
    </row>
    <row r="2" spans="1:1" x14ac:dyDescent="0.25">
      <c r="A2" s="6"/>
    </row>
    <row r="3" spans="1:1" ht="15.75" x14ac:dyDescent="0.25">
      <c r="A3" s="12" t="s">
        <v>68</v>
      </c>
    </row>
    <row r="4" spans="1:1" x14ac:dyDescent="0.25">
      <c r="A4" s="19"/>
    </row>
    <row r="5" spans="1:1" ht="31.5" x14ac:dyDescent="0.25">
      <c r="A5" s="8" t="s">
        <v>69</v>
      </c>
    </row>
    <row r="6" spans="1:1" x14ac:dyDescent="0.25">
      <c r="A6" s="19"/>
    </row>
    <row r="7" spans="1:1" ht="63" customHeight="1" x14ac:dyDescent="0.25">
      <c r="A7" s="8" t="s">
        <v>70</v>
      </c>
    </row>
    <row r="8" spans="1:1" x14ac:dyDescent="0.25">
      <c r="A8" s="19"/>
    </row>
    <row r="9" spans="1:1" ht="94.5" x14ac:dyDescent="0.25">
      <c r="A9" s="8" t="s">
        <v>71</v>
      </c>
    </row>
    <row r="10" spans="1:1" x14ac:dyDescent="0.25">
      <c r="A10" s="19"/>
    </row>
    <row r="11" spans="1:1" ht="63" x14ac:dyDescent="0.25">
      <c r="A11" s="8" t="s">
        <v>72</v>
      </c>
    </row>
    <row r="12" spans="1:1" x14ac:dyDescent="0.25">
      <c r="A12" s="19"/>
    </row>
    <row r="13" spans="1:1" ht="31.5" x14ac:dyDescent="0.25">
      <c r="A13" s="8" t="s">
        <v>73</v>
      </c>
    </row>
    <row r="14" spans="1:1" x14ac:dyDescent="0.25">
      <c r="A14" s="19"/>
    </row>
    <row r="15" spans="1:1" ht="15.75" x14ac:dyDescent="0.25">
      <c r="A15" s="8" t="s">
        <v>17</v>
      </c>
    </row>
    <row r="16" spans="1:1" x14ac:dyDescent="0.25">
      <c r="A16" s="19"/>
    </row>
    <row r="17" spans="1:1" ht="15.75" x14ac:dyDescent="0.25">
      <c r="A17" s="8" t="s">
        <v>16</v>
      </c>
    </row>
    <row r="18" spans="1:1" x14ac:dyDescent="0.25">
      <c r="A18" s="19"/>
    </row>
    <row r="19" spans="1:1" ht="15.75" x14ac:dyDescent="0.25">
      <c r="A19" s="8" t="s">
        <v>15</v>
      </c>
    </row>
    <row r="20" spans="1:1" x14ac:dyDescent="0.25">
      <c r="A20" s="19"/>
    </row>
    <row r="21" spans="1:1" ht="15.75" x14ac:dyDescent="0.25">
      <c r="A21" s="8" t="s">
        <v>14</v>
      </c>
    </row>
    <row r="22" spans="1:1" x14ac:dyDescent="0.25">
      <c r="A22" s="19"/>
    </row>
    <row r="23" spans="1:1" ht="15.75" x14ac:dyDescent="0.25">
      <c r="A23" s="8" t="s">
        <v>13</v>
      </c>
    </row>
    <row r="24" spans="1:1" ht="15.75" x14ac:dyDescent="0.25">
      <c r="A24" s="8"/>
    </row>
    <row r="25" spans="1:1" ht="15.75" x14ac:dyDescent="0.25">
      <c r="A25" s="8" t="s">
        <v>12</v>
      </c>
    </row>
    <row r="26" spans="1:1" ht="15.75" x14ac:dyDescent="0.25">
      <c r="A26" s="8"/>
    </row>
    <row r="27" spans="1:1" ht="15.75" x14ac:dyDescent="0.25">
      <c r="A27" s="8" t="s">
        <v>11</v>
      </c>
    </row>
    <row r="28" spans="1:1" ht="15.75" x14ac:dyDescent="0.25">
      <c r="A28" s="8"/>
    </row>
    <row r="29" spans="1:1" ht="15.75" x14ac:dyDescent="0.25">
      <c r="A29" s="8" t="s">
        <v>10</v>
      </c>
    </row>
    <row r="30" spans="1:1" ht="15.75" x14ac:dyDescent="0.25">
      <c r="A30" s="8"/>
    </row>
    <row r="31" spans="1:1" ht="31.5" x14ac:dyDescent="0.25">
      <c r="A31" s="8" t="s">
        <v>74</v>
      </c>
    </row>
    <row r="32" spans="1:1" ht="15.75" x14ac:dyDescent="0.25">
      <c r="A32" s="8"/>
    </row>
    <row r="33" spans="1:1" ht="31.5" x14ac:dyDescent="0.25">
      <c r="A33" s="8" t="s">
        <v>75</v>
      </c>
    </row>
    <row r="34" spans="1:1" ht="15.75" x14ac:dyDescent="0.25">
      <c r="A34" s="8"/>
    </row>
    <row r="35" spans="1:1" ht="31.5" x14ac:dyDescent="0.25">
      <c r="A35" s="8" t="s">
        <v>76</v>
      </c>
    </row>
    <row r="36" spans="1:1" ht="15.75" x14ac:dyDescent="0.25">
      <c r="A36" s="8"/>
    </row>
    <row r="37" spans="1:1" ht="31.5" x14ac:dyDescent="0.25">
      <c r="A37" s="8" t="s">
        <v>9</v>
      </c>
    </row>
    <row r="38" spans="1:1" ht="15.75" x14ac:dyDescent="0.25">
      <c r="A38" s="8"/>
    </row>
    <row r="39" spans="1:1" ht="31.5" x14ac:dyDescent="0.25">
      <c r="A39" s="8" t="s">
        <v>8</v>
      </c>
    </row>
    <row r="40" spans="1:1" ht="15.75" x14ac:dyDescent="0.25">
      <c r="A40" s="8"/>
    </row>
    <row r="41" spans="1:1" ht="31.5" x14ac:dyDescent="0.25">
      <c r="A41" s="8" t="s">
        <v>7</v>
      </c>
    </row>
    <row r="42" spans="1:1" ht="15.75" x14ac:dyDescent="0.25">
      <c r="A42" s="8"/>
    </row>
    <row r="43" spans="1:1" ht="15.75" x14ac:dyDescent="0.25">
      <c r="A43" s="8" t="s">
        <v>6</v>
      </c>
    </row>
    <row r="44" spans="1:1" ht="15.75" x14ac:dyDescent="0.25">
      <c r="A44" s="8"/>
    </row>
    <row r="45" spans="1:1" ht="47.25" x14ac:dyDescent="0.25">
      <c r="A45" s="8" t="s">
        <v>5</v>
      </c>
    </row>
    <row r="46" spans="1:1" ht="15.75" x14ac:dyDescent="0.25">
      <c r="A46" s="8"/>
    </row>
    <row r="47" spans="1:1" ht="15.75" x14ac:dyDescent="0.25">
      <c r="A47" s="8" t="s">
        <v>4</v>
      </c>
    </row>
    <row r="48" spans="1:1" ht="15.75" x14ac:dyDescent="0.25">
      <c r="A48" s="8"/>
    </row>
    <row r="49" spans="1:1" ht="31.5" x14ac:dyDescent="0.25">
      <c r="A49" s="8" t="s">
        <v>3</v>
      </c>
    </row>
    <row r="50" spans="1:1" ht="15.75" x14ac:dyDescent="0.25">
      <c r="A50" s="8"/>
    </row>
    <row r="51" spans="1:1" ht="31.5" x14ac:dyDescent="0.25">
      <c r="A51" s="8" t="s">
        <v>77</v>
      </c>
    </row>
    <row r="52" spans="1:1" ht="15.75" x14ac:dyDescent="0.25">
      <c r="A52" s="8"/>
    </row>
    <row r="53" spans="1:1" ht="47.25" x14ac:dyDescent="0.25">
      <c r="A53" s="8" t="s">
        <v>78</v>
      </c>
    </row>
    <row r="54" spans="1:1" ht="15.75" x14ac:dyDescent="0.25">
      <c r="A54" s="8"/>
    </row>
    <row r="55" spans="1:1" ht="78.75" x14ac:dyDescent="0.25">
      <c r="A55" s="8" t="s">
        <v>2</v>
      </c>
    </row>
    <row r="56" spans="1:1" ht="15.75" x14ac:dyDescent="0.25">
      <c r="A56" s="3"/>
    </row>
    <row r="57" spans="1:1" ht="15.75" x14ac:dyDescent="0.25">
      <c r="A57" s="3"/>
    </row>
    <row r="58" spans="1:1" ht="15.75" x14ac:dyDescent="0.25">
      <c r="A58" s="3"/>
    </row>
    <row r="59" spans="1:1" ht="15.75" x14ac:dyDescent="0.25">
      <c r="A59" s="3"/>
    </row>
    <row r="60" spans="1:1" ht="15.75" x14ac:dyDescent="0.25">
      <c r="A60" s="3"/>
    </row>
    <row r="61" spans="1:1" ht="15.75" x14ac:dyDescent="0.25">
      <c r="A61" s="3"/>
    </row>
    <row r="62" spans="1:1" ht="15.75" x14ac:dyDescent="0.25">
      <c r="A62" s="3"/>
    </row>
    <row r="63" spans="1:1" x14ac:dyDescent="0.25">
      <c r="A63" s="2"/>
    </row>
  </sheetData>
  <hyperlinks>
    <hyperlink ref="A1" r:id="rId1" location="sp7.4.210.a" xr:uid="{00000000-0004-0000-1A00-000000000000}"/>
  </hyperlinks>
  <pageMargins left="0.7" right="0.7" top="0.75" bottom="0.75" header="0.3" footer="0.3"/>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9" tint="0.39997558519241921"/>
  </sheetPr>
  <dimension ref="A1"/>
  <sheetViews>
    <sheetView workbookViewId="0">
      <selection activeCell="A17" sqref="A17"/>
    </sheetView>
  </sheetViews>
  <sheetFormatPr defaultRowHeight="15" x14ac:dyDescent="0.25"/>
  <cols>
    <col min="1" max="1" width="91.42578125" customWidth="1"/>
  </cols>
  <sheetData>
    <row r="1" spans="1:1" ht="150" x14ac:dyDescent="0.25">
      <c r="A1" s="2" t="s">
        <v>767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39997558519241921"/>
  </sheetPr>
  <dimension ref="A1:A387"/>
  <sheetViews>
    <sheetView workbookViewId="0">
      <selection activeCell="A371" sqref="A371"/>
    </sheetView>
  </sheetViews>
  <sheetFormatPr defaultRowHeight="15" x14ac:dyDescent="0.25"/>
  <cols>
    <col min="1" max="1" width="121.42578125" customWidth="1"/>
  </cols>
  <sheetData>
    <row r="1" spans="1:1" x14ac:dyDescent="0.25">
      <c r="A1" s="441" t="s">
        <v>532</v>
      </c>
    </row>
    <row r="2" spans="1:1" x14ac:dyDescent="0.25">
      <c r="A2" s="2"/>
    </row>
    <row r="3" spans="1:1" ht="90" x14ac:dyDescent="0.25">
      <c r="A3" s="2" t="s">
        <v>533</v>
      </c>
    </row>
    <row r="4" spans="1:1" x14ac:dyDescent="0.25">
      <c r="A4" s="2"/>
    </row>
    <row r="5" spans="1:1" ht="90" x14ac:dyDescent="0.25">
      <c r="A5" s="2" t="s">
        <v>534</v>
      </c>
    </row>
    <row r="6" spans="1:1" x14ac:dyDescent="0.25">
      <c r="A6" s="2"/>
    </row>
    <row r="7" spans="1:1" ht="90" x14ac:dyDescent="0.25">
      <c r="A7" s="2" t="s">
        <v>535</v>
      </c>
    </row>
    <row r="8" spans="1:1" x14ac:dyDescent="0.25">
      <c r="A8" s="2"/>
    </row>
    <row r="9" spans="1:1" ht="105" x14ac:dyDescent="0.25">
      <c r="A9" s="2" t="s">
        <v>536</v>
      </c>
    </row>
    <row r="10" spans="1:1" x14ac:dyDescent="0.25">
      <c r="A10" s="2"/>
    </row>
    <row r="11" spans="1:1" x14ac:dyDescent="0.25">
      <c r="A11" s="2" t="s">
        <v>537</v>
      </c>
    </row>
    <row r="12" spans="1:1" x14ac:dyDescent="0.25">
      <c r="A12" s="2"/>
    </row>
    <row r="13" spans="1:1" x14ac:dyDescent="0.25">
      <c r="A13" s="2" t="s">
        <v>538</v>
      </c>
    </row>
    <row r="14" spans="1:1" x14ac:dyDescent="0.25">
      <c r="A14" s="2"/>
    </row>
    <row r="15" spans="1:1" x14ac:dyDescent="0.25">
      <c r="A15" s="2" t="s">
        <v>539</v>
      </c>
    </row>
    <row r="16" spans="1:1" x14ac:dyDescent="0.25">
      <c r="A16" s="2"/>
    </row>
    <row r="17" spans="1:1" x14ac:dyDescent="0.25">
      <c r="A17" s="2" t="s">
        <v>540</v>
      </c>
    </row>
    <row r="18" spans="1:1" x14ac:dyDescent="0.25">
      <c r="A18" s="2"/>
    </row>
    <row r="19" spans="1:1" x14ac:dyDescent="0.25">
      <c r="A19" s="2" t="s">
        <v>541</v>
      </c>
    </row>
    <row r="20" spans="1:1" x14ac:dyDescent="0.25">
      <c r="A20" s="2"/>
    </row>
    <row r="21" spans="1:1" x14ac:dyDescent="0.25">
      <c r="A21" s="2" t="s">
        <v>542</v>
      </c>
    </row>
    <row r="22" spans="1:1" x14ac:dyDescent="0.25">
      <c r="A22" s="2"/>
    </row>
    <row r="23" spans="1:1" ht="180" x14ac:dyDescent="0.25">
      <c r="A23" s="2" t="s">
        <v>543</v>
      </c>
    </row>
    <row r="24" spans="1:1" x14ac:dyDescent="0.25">
      <c r="A24" s="2"/>
    </row>
    <row r="25" spans="1:1" x14ac:dyDescent="0.25">
      <c r="A25" s="2" t="s">
        <v>537</v>
      </c>
    </row>
    <row r="26" spans="1:1" x14ac:dyDescent="0.25">
      <c r="A26" s="2"/>
    </row>
    <row r="27" spans="1:1" x14ac:dyDescent="0.25">
      <c r="A27" s="2" t="s">
        <v>538</v>
      </c>
    </row>
    <row r="28" spans="1:1" x14ac:dyDescent="0.25">
      <c r="A28" s="2"/>
    </row>
    <row r="29" spans="1:1" x14ac:dyDescent="0.25">
      <c r="A29" s="2" t="s">
        <v>539</v>
      </c>
    </row>
    <row r="30" spans="1:1" x14ac:dyDescent="0.25">
      <c r="A30" s="2"/>
    </row>
    <row r="31" spans="1:1" x14ac:dyDescent="0.25">
      <c r="A31" s="2" t="s">
        <v>540</v>
      </c>
    </row>
    <row r="32" spans="1:1" x14ac:dyDescent="0.25">
      <c r="A32" s="2"/>
    </row>
    <row r="33" spans="1:1" x14ac:dyDescent="0.25">
      <c r="A33" s="2" t="s">
        <v>541</v>
      </c>
    </row>
    <row r="34" spans="1:1" x14ac:dyDescent="0.25">
      <c r="A34" s="2"/>
    </row>
    <row r="35" spans="1:1" x14ac:dyDescent="0.25">
      <c r="A35" s="2" t="s">
        <v>542</v>
      </c>
    </row>
    <row r="36" spans="1:1" x14ac:dyDescent="0.25">
      <c r="A36" s="2"/>
    </row>
    <row r="37" spans="1:1" ht="135" x14ac:dyDescent="0.25">
      <c r="A37" s="2" t="s">
        <v>544</v>
      </c>
    </row>
    <row r="38" spans="1:1" x14ac:dyDescent="0.25">
      <c r="A38" s="2"/>
    </row>
    <row r="39" spans="1:1" x14ac:dyDescent="0.25">
      <c r="A39" s="2" t="s">
        <v>537</v>
      </c>
    </row>
    <row r="40" spans="1:1" x14ac:dyDescent="0.25">
      <c r="A40" s="2"/>
    </row>
    <row r="41" spans="1:1" x14ac:dyDescent="0.25">
      <c r="A41" s="2" t="s">
        <v>538</v>
      </c>
    </row>
    <row r="42" spans="1:1" x14ac:dyDescent="0.25">
      <c r="A42" s="2"/>
    </row>
    <row r="43" spans="1:1" x14ac:dyDescent="0.25">
      <c r="A43" s="2" t="s">
        <v>539</v>
      </c>
    </row>
    <row r="44" spans="1:1" x14ac:dyDescent="0.25">
      <c r="A44" s="2"/>
    </row>
    <row r="45" spans="1:1" x14ac:dyDescent="0.25">
      <c r="A45" s="2" t="s">
        <v>540</v>
      </c>
    </row>
    <row r="46" spans="1:1" x14ac:dyDescent="0.25">
      <c r="A46" s="2"/>
    </row>
    <row r="47" spans="1:1" x14ac:dyDescent="0.25">
      <c r="A47" s="2" t="s">
        <v>541</v>
      </c>
    </row>
    <row r="48" spans="1:1" x14ac:dyDescent="0.25">
      <c r="A48" s="2"/>
    </row>
    <row r="49" spans="1:1" x14ac:dyDescent="0.25">
      <c r="A49" s="2" t="s">
        <v>542</v>
      </c>
    </row>
    <row r="50" spans="1:1" x14ac:dyDescent="0.25">
      <c r="A50" s="2"/>
    </row>
    <row r="51" spans="1:1" ht="75" x14ac:dyDescent="0.25">
      <c r="A51" s="2" t="s">
        <v>545</v>
      </c>
    </row>
    <row r="52" spans="1:1" x14ac:dyDescent="0.25">
      <c r="A52" s="2"/>
    </row>
    <row r="53" spans="1:1" ht="60" x14ac:dyDescent="0.25">
      <c r="A53" s="2" t="s">
        <v>546</v>
      </c>
    </row>
    <row r="54" spans="1:1" x14ac:dyDescent="0.25">
      <c r="A54" s="2"/>
    </row>
    <row r="55" spans="1:1" ht="75" x14ac:dyDescent="0.25">
      <c r="A55" s="2" t="s">
        <v>547</v>
      </c>
    </row>
    <row r="56" spans="1:1" x14ac:dyDescent="0.25">
      <c r="A56" s="2"/>
    </row>
    <row r="57" spans="1:1" ht="60" x14ac:dyDescent="0.25">
      <c r="A57" s="2" t="s">
        <v>548</v>
      </c>
    </row>
    <row r="58" spans="1:1" x14ac:dyDescent="0.25">
      <c r="A58" s="2"/>
    </row>
    <row r="59" spans="1:1" x14ac:dyDescent="0.25">
      <c r="A59" s="2"/>
    </row>
    <row r="60" spans="1:1" x14ac:dyDescent="0.25">
      <c r="A60" s="2"/>
    </row>
    <row r="61" spans="1:1" x14ac:dyDescent="0.25">
      <c r="A61" s="441" t="s">
        <v>550</v>
      </c>
    </row>
    <row r="62" spans="1:1" x14ac:dyDescent="0.25">
      <c r="A62" s="2"/>
    </row>
    <row r="63" spans="1:1" ht="60" x14ac:dyDescent="0.25">
      <c r="A63" s="2" t="s">
        <v>551</v>
      </c>
    </row>
    <row r="64" spans="1:1" x14ac:dyDescent="0.25">
      <c r="A64" s="2"/>
    </row>
    <row r="65" spans="1:1" ht="30" x14ac:dyDescent="0.25">
      <c r="A65" s="2" t="s">
        <v>552</v>
      </c>
    </row>
    <row r="66" spans="1:1" x14ac:dyDescent="0.25">
      <c r="A66" s="2"/>
    </row>
    <row r="67" spans="1:1" x14ac:dyDescent="0.25">
      <c r="A67" s="2" t="s">
        <v>553</v>
      </c>
    </row>
    <row r="68" spans="1:1" x14ac:dyDescent="0.25">
      <c r="A68" s="2"/>
    </row>
    <row r="69" spans="1:1" ht="30" x14ac:dyDescent="0.25">
      <c r="A69" s="2" t="s">
        <v>554</v>
      </c>
    </row>
    <row r="70" spans="1:1" x14ac:dyDescent="0.25">
      <c r="A70" s="2"/>
    </row>
    <row r="71" spans="1:1" x14ac:dyDescent="0.25">
      <c r="A71" s="2" t="s">
        <v>555</v>
      </c>
    </row>
    <row r="72" spans="1:1" x14ac:dyDescent="0.25">
      <c r="A72" s="2"/>
    </row>
    <row r="73" spans="1:1" x14ac:dyDescent="0.25">
      <c r="A73" s="2" t="s">
        <v>556</v>
      </c>
    </row>
    <row r="74" spans="1:1" x14ac:dyDescent="0.25">
      <c r="A74" s="2"/>
    </row>
    <row r="75" spans="1:1" x14ac:dyDescent="0.25">
      <c r="A75" s="2" t="s">
        <v>549</v>
      </c>
    </row>
    <row r="76" spans="1:1" x14ac:dyDescent="0.25">
      <c r="A76" s="2"/>
    </row>
    <row r="77" spans="1:1" x14ac:dyDescent="0.25">
      <c r="A77" s="441" t="s">
        <v>557</v>
      </c>
    </row>
    <row r="78" spans="1:1" x14ac:dyDescent="0.25">
      <c r="A78" s="2"/>
    </row>
    <row r="79" spans="1:1" ht="165" x14ac:dyDescent="0.25">
      <c r="A79" s="2" t="s">
        <v>558</v>
      </c>
    </row>
    <row r="80" spans="1:1" x14ac:dyDescent="0.25">
      <c r="A80" s="2"/>
    </row>
    <row r="81" spans="1:1" ht="90" x14ac:dyDescent="0.25">
      <c r="A81" s="2" t="s">
        <v>559</v>
      </c>
    </row>
    <row r="82" spans="1:1" x14ac:dyDescent="0.25">
      <c r="A82" s="2"/>
    </row>
    <row r="83" spans="1:1" x14ac:dyDescent="0.25">
      <c r="A83" s="2"/>
    </row>
    <row r="84" spans="1:1" x14ac:dyDescent="0.25">
      <c r="A84" s="2"/>
    </row>
    <row r="85" spans="1:1" x14ac:dyDescent="0.25">
      <c r="A85" s="441" t="s">
        <v>560</v>
      </c>
    </row>
    <row r="86" spans="1:1" x14ac:dyDescent="0.25">
      <c r="A86" s="2"/>
    </row>
    <row r="87" spans="1:1" ht="120" x14ac:dyDescent="0.25">
      <c r="A87" s="2" t="s">
        <v>561</v>
      </c>
    </row>
    <row r="88" spans="1:1" x14ac:dyDescent="0.25">
      <c r="A88" s="2"/>
    </row>
    <row r="89" spans="1:1" x14ac:dyDescent="0.25">
      <c r="A89" s="2" t="s">
        <v>562</v>
      </c>
    </row>
    <row r="90" spans="1:1" x14ac:dyDescent="0.25">
      <c r="A90" s="2"/>
    </row>
    <row r="91" spans="1:1" x14ac:dyDescent="0.25">
      <c r="A91" s="2" t="s">
        <v>563</v>
      </c>
    </row>
    <row r="92" spans="1:1" x14ac:dyDescent="0.25">
      <c r="A92" s="2"/>
    </row>
    <row r="93" spans="1:1" x14ac:dyDescent="0.25">
      <c r="A93" s="2" t="s">
        <v>564</v>
      </c>
    </row>
    <row r="94" spans="1:1" x14ac:dyDescent="0.25">
      <c r="A94" s="2"/>
    </row>
    <row r="95" spans="1:1" x14ac:dyDescent="0.25">
      <c r="A95" s="2" t="s">
        <v>565</v>
      </c>
    </row>
    <row r="96" spans="1:1" x14ac:dyDescent="0.25">
      <c r="A96" s="2"/>
    </row>
    <row r="97" spans="1:1" ht="45" x14ac:dyDescent="0.25">
      <c r="A97" s="2" t="s">
        <v>566</v>
      </c>
    </row>
    <row r="98" spans="1:1" x14ac:dyDescent="0.25">
      <c r="A98" s="2"/>
    </row>
    <row r="99" spans="1:1" ht="45" x14ac:dyDescent="0.25">
      <c r="A99" s="2" t="s">
        <v>567</v>
      </c>
    </row>
    <row r="100" spans="1:1" x14ac:dyDescent="0.25">
      <c r="A100" s="2"/>
    </row>
    <row r="101" spans="1:1" ht="90" x14ac:dyDescent="0.25">
      <c r="A101" s="2" t="s">
        <v>568</v>
      </c>
    </row>
    <row r="102" spans="1:1" x14ac:dyDescent="0.25">
      <c r="A102" s="2"/>
    </row>
    <row r="103" spans="1:1" ht="90" x14ac:dyDescent="0.25">
      <c r="A103" s="2" t="s">
        <v>569</v>
      </c>
    </row>
    <row r="104" spans="1:1" x14ac:dyDescent="0.25">
      <c r="A104" s="2"/>
    </row>
    <row r="105" spans="1:1" ht="105" x14ac:dyDescent="0.25">
      <c r="A105" s="2" t="s">
        <v>570</v>
      </c>
    </row>
    <row r="106" spans="1:1" x14ac:dyDescent="0.25">
      <c r="A106" s="2"/>
    </row>
    <row r="107" spans="1:1" ht="75" x14ac:dyDescent="0.25">
      <c r="A107" s="2" t="s">
        <v>571</v>
      </c>
    </row>
    <row r="108" spans="1:1" x14ac:dyDescent="0.25">
      <c r="A108" s="2"/>
    </row>
    <row r="109" spans="1:1" ht="30" x14ac:dyDescent="0.25">
      <c r="A109" s="2" t="s">
        <v>572</v>
      </c>
    </row>
    <row r="110" spans="1:1" x14ac:dyDescent="0.25">
      <c r="A110" s="2"/>
    </row>
    <row r="111" spans="1:1" ht="30" x14ac:dyDescent="0.25">
      <c r="A111" s="2" t="s">
        <v>573</v>
      </c>
    </row>
    <row r="112" spans="1:1" x14ac:dyDescent="0.25">
      <c r="A112" s="2"/>
    </row>
    <row r="113" spans="1:1" ht="60" x14ac:dyDescent="0.25">
      <c r="A113" s="2" t="s">
        <v>574</v>
      </c>
    </row>
    <row r="114" spans="1:1" x14ac:dyDescent="0.25">
      <c r="A114" s="2"/>
    </row>
    <row r="115" spans="1:1" ht="60" x14ac:dyDescent="0.25">
      <c r="A115" s="2" t="s">
        <v>575</v>
      </c>
    </row>
    <row r="116" spans="1:1" x14ac:dyDescent="0.25">
      <c r="A116" s="2"/>
    </row>
    <row r="117" spans="1:1" ht="45" x14ac:dyDescent="0.25">
      <c r="A117" s="2" t="s">
        <v>576</v>
      </c>
    </row>
    <row r="118" spans="1:1" x14ac:dyDescent="0.25">
      <c r="A118" s="2"/>
    </row>
    <row r="119" spans="1:1" x14ac:dyDescent="0.25">
      <c r="A119" s="2"/>
    </row>
    <row r="120" spans="1:1" x14ac:dyDescent="0.25">
      <c r="A120" s="2"/>
    </row>
    <row r="121" spans="1:1" x14ac:dyDescent="0.25">
      <c r="A121" s="441" t="s">
        <v>577</v>
      </c>
    </row>
    <row r="122" spans="1:1" x14ac:dyDescent="0.25">
      <c r="A122" s="2"/>
    </row>
    <row r="123" spans="1:1" ht="150" x14ac:dyDescent="0.25">
      <c r="A123" s="2" t="s">
        <v>578</v>
      </c>
    </row>
    <row r="124" spans="1:1" x14ac:dyDescent="0.25">
      <c r="A124" s="2"/>
    </row>
    <row r="125" spans="1:1" ht="75" x14ac:dyDescent="0.25">
      <c r="A125" s="2" t="s">
        <v>579</v>
      </c>
    </row>
    <row r="126" spans="1:1" x14ac:dyDescent="0.25">
      <c r="A126" s="2"/>
    </row>
    <row r="127" spans="1:1" ht="90" x14ac:dyDescent="0.25">
      <c r="A127" s="2" t="s">
        <v>580</v>
      </c>
    </row>
    <row r="128" spans="1:1" x14ac:dyDescent="0.25">
      <c r="A128" s="2"/>
    </row>
    <row r="129" spans="1:1" ht="75" x14ac:dyDescent="0.25">
      <c r="A129" s="2" t="s">
        <v>581</v>
      </c>
    </row>
    <row r="130" spans="1:1" x14ac:dyDescent="0.25">
      <c r="A130" s="2"/>
    </row>
    <row r="131" spans="1:1" x14ac:dyDescent="0.25">
      <c r="A131" s="2" t="s">
        <v>582</v>
      </c>
    </row>
    <row r="132" spans="1:1" x14ac:dyDescent="0.25">
      <c r="A132" s="2"/>
    </row>
    <row r="133" spans="1:1" x14ac:dyDescent="0.25">
      <c r="A133" s="2" t="s">
        <v>583</v>
      </c>
    </row>
    <row r="134" spans="1:1" x14ac:dyDescent="0.25">
      <c r="A134" s="2"/>
    </row>
    <row r="135" spans="1:1" x14ac:dyDescent="0.25">
      <c r="A135" s="2" t="s">
        <v>584</v>
      </c>
    </row>
    <row r="136" spans="1:1" x14ac:dyDescent="0.25">
      <c r="A136" s="2"/>
    </row>
    <row r="137" spans="1:1" ht="30" x14ac:dyDescent="0.25">
      <c r="A137" s="2" t="s">
        <v>585</v>
      </c>
    </row>
    <row r="138" spans="1:1" x14ac:dyDescent="0.25">
      <c r="A138" s="2"/>
    </row>
    <row r="139" spans="1:1" x14ac:dyDescent="0.25">
      <c r="A139" s="2"/>
    </row>
    <row r="140" spans="1:1" x14ac:dyDescent="0.25">
      <c r="A140" s="2"/>
    </row>
    <row r="141" spans="1:1" x14ac:dyDescent="0.25">
      <c r="A141" s="441" t="s">
        <v>586</v>
      </c>
    </row>
    <row r="142" spans="1:1" x14ac:dyDescent="0.25">
      <c r="A142" s="2"/>
    </row>
    <row r="143" spans="1:1" ht="60" x14ac:dyDescent="0.25">
      <c r="A143" s="2" t="s">
        <v>587</v>
      </c>
    </row>
    <row r="144" spans="1:1" x14ac:dyDescent="0.25">
      <c r="A144" s="2"/>
    </row>
    <row r="145" spans="1:1" ht="30" x14ac:dyDescent="0.25">
      <c r="A145" s="2" t="s">
        <v>588</v>
      </c>
    </row>
    <row r="146" spans="1:1" x14ac:dyDescent="0.25">
      <c r="A146" s="2"/>
    </row>
    <row r="147" spans="1:1" ht="120" x14ac:dyDescent="0.25">
      <c r="A147" s="2" t="s">
        <v>589</v>
      </c>
    </row>
    <row r="148" spans="1:1" x14ac:dyDescent="0.25">
      <c r="A148" s="2"/>
    </row>
    <row r="149" spans="1:1" ht="120" x14ac:dyDescent="0.25">
      <c r="A149" s="2" t="s">
        <v>590</v>
      </c>
    </row>
    <row r="150" spans="1:1" x14ac:dyDescent="0.25">
      <c r="A150" s="2"/>
    </row>
    <row r="151" spans="1:1" ht="105" x14ac:dyDescent="0.25">
      <c r="A151" s="2" t="s">
        <v>591</v>
      </c>
    </row>
    <row r="152" spans="1:1" x14ac:dyDescent="0.25">
      <c r="A152" s="2"/>
    </row>
    <row r="153" spans="1:1" ht="75" x14ac:dyDescent="0.25">
      <c r="A153" s="2" t="s">
        <v>592</v>
      </c>
    </row>
    <row r="154" spans="1:1" x14ac:dyDescent="0.25">
      <c r="A154" s="2"/>
    </row>
    <row r="155" spans="1:1" ht="30" x14ac:dyDescent="0.25">
      <c r="A155" s="2" t="s">
        <v>593</v>
      </c>
    </row>
    <row r="156" spans="1:1" x14ac:dyDescent="0.25">
      <c r="A156" s="2"/>
    </row>
    <row r="157" spans="1:1" ht="30" x14ac:dyDescent="0.25">
      <c r="A157" s="2" t="s">
        <v>594</v>
      </c>
    </row>
    <row r="158" spans="1:1" x14ac:dyDescent="0.25">
      <c r="A158" s="2"/>
    </row>
    <row r="159" spans="1:1" ht="45" x14ac:dyDescent="0.25">
      <c r="A159" s="2" t="s">
        <v>595</v>
      </c>
    </row>
    <row r="160" spans="1:1" x14ac:dyDescent="0.25">
      <c r="A160" s="2"/>
    </row>
    <row r="161" spans="1:1" x14ac:dyDescent="0.25">
      <c r="A161" s="2"/>
    </row>
    <row r="162" spans="1:1" x14ac:dyDescent="0.25">
      <c r="A162" s="2"/>
    </row>
    <row r="163" spans="1:1" x14ac:dyDescent="0.25">
      <c r="A163" s="441" t="s">
        <v>596</v>
      </c>
    </row>
    <row r="164" spans="1:1" x14ac:dyDescent="0.25">
      <c r="A164" s="2"/>
    </row>
    <row r="165" spans="1:1" ht="60" x14ac:dyDescent="0.25">
      <c r="A165" s="2" t="s">
        <v>597</v>
      </c>
    </row>
    <row r="166" spans="1:1" x14ac:dyDescent="0.25">
      <c r="A166" s="2"/>
    </row>
    <row r="167" spans="1:1" ht="75" x14ac:dyDescent="0.25">
      <c r="A167" s="2" t="s">
        <v>598</v>
      </c>
    </row>
    <row r="168" spans="1:1" x14ac:dyDescent="0.25">
      <c r="A168" s="2"/>
    </row>
    <row r="169" spans="1:1" ht="30" x14ac:dyDescent="0.25">
      <c r="A169" s="2" t="s">
        <v>599</v>
      </c>
    </row>
    <row r="170" spans="1:1" x14ac:dyDescent="0.25">
      <c r="A170" s="2"/>
    </row>
    <row r="171" spans="1:1" ht="90" x14ac:dyDescent="0.25">
      <c r="A171" s="2" t="s">
        <v>600</v>
      </c>
    </row>
    <row r="172" spans="1:1" x14ac:dyDescent="0.25">
      <c r="A172" s="2"/>
    </row>
    <row r="173" spans="1:1" ht="45" x14ac:dyDescent="0.25">
      <c r="A173" s="2" t="s">
        <v>601</v>
      </c>
    </row>
    <row r="174" spans="1:1" x14ac:dyDescent="0.25">
      <c r="A174" s="2"/>
    </row>
    <row r="175" spans="1:1" x14ac:dyDescent="0.25">
      <c r="A175" s="2" t="s">
        <v>602</v>
      </c>
    </row>
    <row r="176" spans="1:1" x14ac:dyDescent="0.25">
      <c r="A176" s="2"/>
    </row>
    <row r="177" spans="1:1" ht="30" x14ac:dyDescent="0.25">
      <c r="A177" s="2" t="s">
        <v>603</v>
      </c>
    </row>
    <row r="178" spans="1:1" x14ac:dyDescent="0.25">
      <c r="A178" s="2"/>
    </row>
    <row r="179" spans="1:1" ht="30" x14ac:dyDescent="0.25">
      <c r="A179" s="2" t="s">
        <v>604</v>
      </c>
    </row>
    <row r="180" spans="1:1" x14ac:dyDescent="0.25">
      <c r="A180" s="2"/>
    </row>
    <row r="181" spans="1:1" ht="120" x14ac:dyDescent="0.25">
      <c r="A181" s="2" t="s">
        <v>605</v>
      </c>
    </row>
    <row r="182" spans="1:1" x14ac:dyDescent="0.25">
      <c r="A182" s="2"/>
    </row>
    <row r="183" spans="1:1" ht="30" x14ac:dyDescent="0.25">
      <c r="A183" s="2" t="s">
        <v>606</v>
      </c>
    </row>
    <row r="184" spans="1:1" x14ac:dyDescent="0.25">
      <c r="A184" s="2"/>
    </row>
    <row r="185" spans="1:1" ht="30" x14ac:dyDescent="0.25">
      <c r="A185" s="2" t="s">
        <v>607</v>
      </c>
    </row>
    <row r="186" spans="1:1" x14ac:dyDescent="0.25">
      <c r="A186" s="2"/>
    </row>
    <row r="187" spans="1:1" ht="75" x14ac:dyDescent="0.25">
      <c r="A187" s="2" t="s">
        <v>608</v>
      </c>
    </row>
    <row r="188" spans="1:1" x14ac:dyDescent="0.25">
      <c r="A188" s="2"/>
    </row>
    <row r="189" spans="1:1" x14ac:dyDescent="0.25">
      <c r="A189" s="2" t="s">
        <v>609</v>
      </c>
    </row>
    <row r="190" spans="1:1" x14ac:dyDescent="0.25">
      <c r="A190" s="2"/>
    </row>
    <row r="191" spans="1:1" ht="30" x14ac:dyDescent="0.25">
      <c r="A191" s="2" t="s">
        <v>610</v>
      </c>
    </row>
    <row r="192" spans="1:1" x14ac:dyDescent="0.25">
      <c r="A192" s="2"/>
    </row>
    <row r="193" spans="1:1" x14ac:dyDescent="0.25">
      <c r="A193" s="2"/>
    </row>
    <row r="194" spans="1:1" x14ac:dyDescent="0.25">
      <c r="A194" s="2"/>
    </row>
    <row r="195" spans="1:1" x14ac:dyDescent="0.25">
      <c r="A195" s="441" t="s">
        <v>611</v>
      </c>
    </row>
    <row r="196" spans="1:1" x14ac:dyDescent="0.25">
      <c r="A196" s="2"/>
    </row>
    <row r="197" spans="1:1" ht="60" x14ac:dyDescent="0.25">
      <c r="A197" s="2" t="s">
        <v>612</v>
      </c>
    </row>
    <row r="198" spans="1:1" x14ac:dyDescent="0.25">
      <c r="A198" s="2"/>
    </row>
    <row r="199" spans="1:1" x14ac:dyDescent="0.25">
      <c r="A199" s="2" t="s">
        <v>613</v>
      </c>
    </row>
    <row r="200" spans="1:1" x14ac:dyDescent="0.25">
      <c r="A200" s="2"/>
    </row>
    <row r="201" spans="1:1" x14ac:dyDescent="0.25">
      <c r="A201" s="2" t="s">
        <v>614</v>
      </c>
    </row>
    <row r="202" spans="1:1" x14ac:dyDescent="0.25">
      <c r="A202" s="2"/>
    </row>
    <row r="203" spans="1:1" x14ac:dyDescent="0.25">
      <c r="A203" s="2" t="s">
        <v>615</v>
      </c>
    </row>
    <row r="204" spans="1:1" x14ac:dyDescent="0.25">
      <c r="A204" s="2"/>
    </row>
    <row r="205" spans="1:1" ht="30" x14ac:dyDescent="0.25">
      <c r="A205" s="2" t="s">
        <v>616</v>
      </c>
    </row>
    <row r="206" spans="1:1" x14ac:dyDescent="0.25">
      <c r="A206" s="2"/>
    </row>
    <row r="207" spans="1:1" x14ac:dyDescent="0.25">
      <c r="A207" s="2" t="s">
        <v>617</v>
      </c>
    </row>
    <row r="208" spans="1:1" x14ac:dyDescent="0.25">
      <c r="A208" s="2"/>
    </row>
    <row r="209" spans="1:1" x14ac:dyDescent="0.25">
      <c r="A209" s="2" t="s">
        <v>618</v>
      </c>
    </row>
    <row r="210" spans="1:1" x14ac:dyDescent="0.25">
      <c r="A210" s="2"/>
    </row>
    <row r="211" spans="1:1" x14ac:dyDescent="0.25">
      <c r="A211" s="2" t="s">
        <v>619</v>
      </c>
    </row>
    <row r="212" spans="1:1" x14ac:dyDescent="0.25">
      <c r="A212" s="2"/>
    </row>
    <row r="213" spans="1:1" ht="30" x14ac:dyDescent="0.25">
      <c r="A213" s="2" t="s">
        <v>620</v>
      </c>
    </row>
    <row r="214" spans="1:1" x14ac:dyDescent="0.25">
      <c r="A214" s="2"/>
    </row>
    <row r="215" spans="1:1" x14ac:dyDescent="0.25">
      <c r="A215" s="2" t="s">
        <v>621</v>
      </c>
    </row>
    <row r="216" spans="1:1" x14ac:dyDescent="0.25">
      <c r="A216" s="2"/>
    </row>
    <row r="217" spans="1:1" x14ac:dyDescent="0.25">
      <c r="A217" s="2" t="s">
        <v>622</v>
      </c>
    </row>
    <row r="218" spans="1:1" x14ac:dyDescent="0.25">
      <c r="A218" s="2"/>
    </row>
    <row r="219" spans="1:1" ht="105" x14ac:dyDescent="0.25">
      <c r="A219" s="2" t="s">
        <v>623</v>
      </c>
    </row>
    <row r="220" spans="1:1" x14ac:dyDescent="0.25">
      <c r="A220" s="2"/>
    </row>
    <row r="221" spans="1:1" ht="90" x14ac:dyDescent="0.25">
      <c r="A221" s="2" t="s">
        <v>624</v>
      </c>
    </row>
    <row r="222" spans="1:1" x14ac:dyDescent="0.25">
      <c r="A222" s="2"/>
    </row>
    <row r="223" spans="1:1" x14ac:dyDescent="0.25">
      <c r="A223" s="2" t="s">
        <v>625</v>
      </c>
    </row>
    <row r="224" spans="1:1" x14ac:dyDescent="0.25">
      <c r="A224" s="2"/>
    </row>
    <row r="225" spans="1:1" x14ac:dyDescent="0.25">
      <c r="A225" s="2" t="s">
        <v>626</v>
      </c>
    </row>
    <row r="226" spans="1:1" x14ac:dyDescent="0.25">
      <c r="A226" s="2"/>
    </row>
    <row r="227" spans="1:1" ht="30" x14ac:dyDescent="0.25">
      <c r="A227" s="2" t="s">
        <v>627</v>
      </c>
    </row>
    <row r="228" spans="1:1" x14ac:dyDescent="0.25">
      <c r="A228" s="2"/>
    </row>
    <row r="229" spans="1:1" x14ac:dyDescent="0.25">
      <c r="A229" s="2" t="s">
        <v>628</v>
      </c>
    </row>
    <row r="230" spans="1:1" x14ac:dyDescent="0.25">
      <c r="A230" s="2"/>
    </row>
    <row r="231" spans="1:1" ht="30" x14ac:dyDescent="0.25">
      <c r="A231" s="2" t="s">
        <v>629</v>
      </c>
    </row>
    <row r="232" spans="1:1" x14ac:dyDescent="0.25">
      <c r="A232" s="2"/>
    </row>
    <row r="233" spans="1:1" x14ac:dyDescent="0.25">
      <c r="A233" s="2" t="s">
        <v>630</v>
      </c>
    </row>
    <row r="234" spans="1:1" x14ac:dyDescent="0.25">
      <c r="A234" s="2"/>
    </row>
    <row r="235" spans="1:1" x14ac:dyDescent="0.25">
      <c r="A235" s="2" t="s">
        <v>631</v>
      </c>
    </row>
    <row r="236" spans="1:1" x14ac:dyDescent="0.25">
      <c r="A236" s="2"/>
    </row>
    <row r="237" spans="1:1" x14ac:dyDescent="0.25">
      <c r="A237" s="2" t="s">
        <v>632</v>
      </c>
    </row>
    <row r="238" spans="1:1" x14ac:dyDescent="0.25">
      <c r="A238" s="2"/>
    </row>
    <row r="239" spans="1:1" x14ac:dyDescent="0.25">
      <c r="A239" s="2" t="s">
        <v>633</v>
      </c>
    </row>
    <row r="240" spans="1:1" x14ac:dyDescent="0.25">
      <c r="A240" s="2"/>
    </row>
    <row r="241" spans="1:1" ht="30" x14ac:dyDescent="0.25">
      <c r="A241" s="2" t="s">
        <v>634</v>
      </c>
    </row>
    <row r="242" spans="1:1" x14ac:dyDescent="0.25">
      <c r="A242" s="2"/>
    </row>
    <row r="243" spans="1:1" ht="30" x14ac:dyDescent="0.25">
      <c r="A243" s="2" t="s">
        <v>635</v>
      </c>
    </row>
    <row r="244" spans="1:1" x14ac:dyDescent="0.25">
      <c r="A244" s="2"/>
    </row>
    <row r="245" spans="1:1" x14ac:dyDescent="0.25">
      <c r="A245" s="2" t="s">
        <v>636</v>
      </c>
    </row>
    <row r="246" spans="1:1" x14ac:dyDescent="0.25">
      <c r="A246" s="2"/>
    </row>
    <row r="247" spans="1:1" x14ac:dyDescent="0.25">
      <c r="A247" s="2" t="s">
        <v>637</v>
      </c>
    </row>
    <row r="248" spans="1:1" x14ac:dyDescent="0.25">
      <c r="A248" s="2"/>
    </row>
    <row r="249" spans="1:1" x14ac:dyDescent="0.25">
      <c r="A249" s="2" t="s">
        <v>638</v>
      </c>
    </row>
    <row r="250" spans="1:1" x14ac:dyDescent="0.25">
      <c r="A250" s="2"/>
    </row>
    <row r="251" spans="1:1" ht="30" x14ac:dyDescent="0.25">
      <c r="A251" s="2" t="s">
        <v>639</v>
      </c>
    </row>
    <row r="252" spans="1:1" x14ac:dyDescent="0.25">
      <c r="A252" s="2"/>
    </row>
    <row r="253" spans="1:1" x14ac:dyDescent="0.25">
      <c r="A253" s="2" t="s">
        <v>640</v>
      </c>
    </row>
    <row r="254" spans="1:1" x14ac:dyDescent="0.25">
      <c r="A254" s="2"/>
    </row>
    <row r="255" spans="1:1" x14ac:dyDescent="0.25">
      <c r="A255" s="2" t="s">
        <v>641</v>
      </c>
    </row>
    <row r="256" spans="1:1" x14ac:dyDescent="0.25">
      <c r="A256" s="2"/>
    </row>
    <row r="257" spans="1:1" x14ac:dyDescent="0.25">
      <c r="A257" s="2" t="s">
        <v>642</v>
      </c>
    </row>
    <row r="258" spans="1:1" x14ac:dyDescent="0.25">
      <c r="A258" s="2"/>
    </row>
    <row r="259" spans="1:1" x14ac:dyDescent="0.25">
      <c r="A259" s="2" t="s">
        <v>643</v>
      </c>
    </row>
    <row r="260" spans="1:1" x14ac:dyDescent="0.25">
      <c r="A260" s="2"/>
    </row>
    <row r="261" spans="1:1" ht="30" x14ac:dyDescent="0.25">
      <c r="A261" s="2" t="s">
        <v>644</v>
      </c>
    </row>
    <row r="262" spans="1:1" x14ac:dyDescent="0.25">
      <c r="A262" s="2"/>
    </row>
    <row r="263" spans="1:1" x14ac:dyDescent="0.25">
      <c r="A263" s="2" t="s">
        <v>645</v>
      </c>
    </row>
    <row r="264" spans="1:1" x14ac:dyDescent="0.25">
      <c r="A264" s="2"/>
    </row>
    <row r="265" spans="1:1" x14ac:dyDescent="0.25">
      <c r="A265" s="2" t="s">
        <v>646</v>
      </c>
    </row>
    <row r="266" spans="1:1" x14ac:dyDescent="0.25">
      <c r="A266" s="2"/>
    </row>
    <row r="267" spans="1:1" x14ac:dyDescent="0.25">
      <c r="A267" s="2" t="s">
        <v>647</v>
      </c>
    </row>
    <row r="268" spans="1:1" x14ac:dyDescent="0.25">
      <c r="A268" s="2"/>
    </row>
    <row r="269" spans="1:1" ht="30" x14ac:dyDescent="0.25">
      <c r="A269" s="2" t="s">
        <v>648</v>
      </c>
    </row>
    <row r="270" spans="1:1" x14ac:dyDescent="0.25">
      <c r="A270" s="2"/>
    </row>
    <row r="271" spans="1:1" x14ac:dyDescent="0.25">
      <c r="A271" s="2" t="s">
        <v>649</v>
      </c>
    </row>
    <row r="272" spans="1:1" x14ac:dyDescent="0.25">
      <c r="A272" s="2"/>
    </row>
    <row r="273" spans="1:1" x14ac:dyDescent="0.25">
      <c r="A273" s="2" t="s">
        <v>650</v>
      </c>
    </row>
    <row r="274" spans="1:1" x14ac:dyDescent="0.25">
      <c r="A274" s="2"/>
    </row>
    <row r="275" spans="1:1" ht="30" x14ac:dyDescent="0.25">
      <c r="A275" s="2" t="s">
        <v>651</v>
      </c>
    </row>
    <row r="276" spans="1:1" x14ac:dyDescent="0.25">
      <c r="A276" s="2"/>
    </row>
    <row r="277" spans="1:1" x14ac:dyDescent="0.25">
      <c r="A277" s="2" t="s">
        <v>652</v>
      </c>
    </row>
    <row r="278" spans="1:1" x14ac:dyDescent="0.25">
      <c r="A278" s="2"/>
    </row>
    <row r="279" spans="1:1" ht="30" x14ac:dyDescent="0.25">
      <c r="A279" s="2" t="s">
        <v>653</v>
      </c>
    </row>
    <row r="280" spans="1:1" x14ac:dyDescent="0.25">
      <c r="A280" s="2"/>
    </row>
    <row r="281" spans="1:1" x14ac:dyDescent="0.25">
      <c r="A281" s="2" t="s">
        <v>654</v>
      </c>
    </row>
    <row r="282" spans="1:1" x14ac:dyDescent="0.25">
      <c r="A282" s="2"/>
    </row>
    <row r="283" spans="1:1" x14ac:dyDescent="0.25">
      <c r="A283" s="2" t="s">
        <v>655</v>
      </c>
    </row>
    <row r="284" spans="1:1" x14ac:dyDescent="0.25">
      <c r="A284" s="2"/>
    </row>
    <row r="285" spans="1:1" x14ac:dyDescent="0.25">
      <c r="A285" s="2" t="s">
        <v>656</v>
      </c>
    </row>
    <row r="286" spans="1:1" x14ac:dyDescent="0.25">
      <c r="A286" s="2"/>
    </row>
    <row r="287" spans="1:1" x14ac:dyDescent="0.25">
      <c r="A287" s="2" t="s">
        <v>657</v>
      </c>
    </row>
    <row r="288" spans="1:1" x14ac:dyDescent="0.25">
      <c r="A288" s="2"/>
    </row>
    <row r="289" spans="1:1" x14ac:dyDescent="0.25">
      <c r="A289" s="2"/>
    </row>
    <row r="290" spans="1:1" x14ac:dyDescent="0.25">
      <c r="A290" s="2"/>
    </row>
    <row r="291" spans="1:1" x14ac:dyDescent="0.25">
      <c r="A291" s="441" t="s">
        <v>658</v>
      </c>
    </row>
    <row r="292" spans="1:1" x14ac:dyDescent="0.25">
      <c r="A292" s="2"/>
    </row>
    <row r="293" spans="1:1" ht="30" x14ac:dyDescent="0.25">
      <c r="A293" s="2" t="s">
        <v>659</v>
      </c>
    </row>
    <row r="294" spans="1:1" x14ac:dyDescent="0.25">
      <c r="A294" s="2"/>
    </row>
    <row r="295" spans="1:1" ht="30" x14ac:dyDescent="0.25">
      <c r="A295" s="2" t="s">
        <v>660</v>
      </c>
    </row>
    <row r="296" spans="1:1" x14ac:dyDescent="0.25">
      <c r="A296" s="2"/>
    </row>
    <row r="297" spans="1:1" x14ac:dyDescent="0.25">
      <c r="A297" s="2" t="s">
        <v>661</v>
      </c>
    </row>
    <row r="298" spans="1:1" x14ac:dyDescent="0.25">
      <c r="A298" s="2"/>
    </row>
    <row r="299" spans="1:1" x14ac:dyDescent="0.25">
      <c r="A299" s="2" t="s">
        <v>662</v>
      </c>
    </row>
    <row r="300" spans="1:1" x14ac:dyDescent="0.25">
      <c r="A300" s="2"/>
    </row>
    <row r="301" spans="1:1" x14ac:dyDescent="0.25">
      <c r="A301" s="2" t="s">
        <v>663</v>
      </c>
    </row>
    <row r="302" spans="1:1" x14ac:dyDescent="0.25">
      <c r="A302" s="2"/>
    </row>
    <row r="303" spans="1:1" x14ac:dyDescent="0.25">
      <c r="A303" s="2" t="s">
        <v>664</v>
      </c>
    </row>
    <row r="304" spans="1:1" x14ac:dyDescent="0.25">
      <c r="A304" s="2"/>
    </row>
    <row r="305" spans="1:1" ht="30" x14ac:dyDescent="0.25">
      <c r="A305" s="2" t="s">
        <v>665</v>
      </c>
    </row>
    <row r="306" spans="1:1" x14ac:dyDescent="0.25">
      <c r="A306" s="2"/>
    </row>
    <row r="307" spans="1:1" x14ac:dyDescent="0.25">
      <c r="A307" s="2" t="s">
        <v>666</v>
      </c>
    </row>
    <row r="308" spans="1:1" x14ac:dyDescent="0.25">
      <c r="A308" s="2"/>
    </row>
    <row r="309" spans="1:1" ht="30" x14ac:dyDescent="0.25">
      <c r="A309" s="2" t="s">
        <v>667</v>
      </c>
    </row>
    <row r="310" spans="1:1" x14ac:dyDescent="0.25">
      <c r="A310" s="2"/>
    </row>
    <row r="311" spans="1:1" x14ac:dyDescent="0.25">
      <c r="A311" s="2" t="s">
        <v>668</v>
      </c>
    </row>
    <row r="312" spans="1:1" x14ac:dyDescent="0.25">
      <c r="A312" s="2"/>
    </row>
    <row r="313" spans="1:1" ht="30" x14ac:dyDescent="0.25">
      <c r="A313" s="2" t="s">
        <v>669</v>
      </c>
    </row>
    <row r="314" spans="1:1" x14ac:dyDescent="0.25">
      <c r="A314" s="2"/>
    </row>
    <row r="315" spans="1:1" ht="30" x14ac:dyDescent="0.25">
      <c r="A315" s="2" t="s">
        <v>670</v>
      </c>
    </row>
    <row r="316" spans="1:1" x14ac:dyDescent="0.25">
      <c r="A316" s="2"/>
    </row>
    <row r="317" spans="1:1" ht="30" x14ac:dyDescent="0.25">
      <c r="A317" s="2" t="s">
        <v>671</v>
      </c>
    </row>
    <row r="318" spans="1:1" x14ac:dyDescent="0.25">
      <c r="A318" s="2"/>
    </row>
    <row r="319" spans="1:1" x14ac:dyDescent="0.25">
      <c r="A319" s="2" t="s">
        <v>661</v>
      </c>
    </row>
    <row r="320" spans="1:1" x14ac:dyDescent="0.25">
      <c r="A320" s="2"/>
    </row>
    <row r="321" spans="1:1" x14ac:dyDescent="0.25">
      <c r="A321" s="2" t="s">
        <v>662</v>
      </c>
    </row>
    <row r="322" spans="1:1" x14ac:dyDescent="0.25">
      <c r="A322" s="2"/>
    </row>
    <row r="323" spans="1:1" x14ac:dyDescent="0.25">
      <c r="A323" s="2" t="s">
        <v>672</v>
      </c>
    </row>
    <row r="324" spans="1:1" x14ac:dyDescent="0.25">
      <c r="A324" s="2"/>
    </row>
    <row r="325" spans="1:1" x14ac:dyDescent="0.25">
      <c r="A325" s="2" t="s">
        <v>673</v>
      </c>
    </row>
    <row r="326" spans="1:1" x14ac:dyDescent="0.25">
      <c r="A326" s="2"/>
    </row>
    <row r="327" spans="1:1" ht="30" x14ac:dyDescent="0.25">
      <c r="A327" s="2" t="s">
        <v>674</v>
      </c>
    </row>
    <row r="328" spans="1:1" x14ac:dyDescent="0.25">
      <c r="A328" s="2"/>
    </row>
    <row r="329" spans="1:1" x14ac:dyDescent="0.25">
      <c r="A329" s="2" t="s">
        <v>675</v>
      </c>
    </row>
    <row r="330" spans="1:1" x14ac:dyDescent="0.25">
      <c r="A330" s="2"/>
    </row>
    <row r="331" spans="1:1" x14ac:dyDescent="0.25">
      <c r="A331" s="2" t="s">
        <v>676</v>
      </c>
    </row>
    <row r="332" spans="1:1" x14ac:dyDescent="0.25">
      <c r="A332" s="2"/>
    </row>
    <row r="333" spans="1:1" ht="30" x14ac:dyDescent="0.25">
      <c r="A333" s="2" t="s">
        <v>677</v>
      </c>
    </row>
    <row r="334" spans="1:1" x14ac:dyDescent="0.25">
      <c r="A334" s="2"/>
    </row>
    <row r="335" spans="1:1" x14ac:dyDescent="0.25">
      <c r="A335" s="2" t="s">
        <v>678</v>
      </c>
    </row>
    <row r="336" spans="1:1" x14ac:dyDescent="0.25">
      <c r="A336" s="2"/>
    </row>
    <row r="337" spans="1:1" ht="30" x14ac:dyDescent="0.25">
      <c r="A337" s="2" t="s">
        <v>679</v>
      </c>
    </row>
    <row r="338" spans="1:1" x14ac:dyDescent="0.25">
      <c r="A338" s="2"/>
    </row>
    <row r="339" spans="1:1" ht="30" x14ac:dyDescent="0.25">
      <c r="A339" s="2" t="s">
        <v>680</v>
      </c>
    </row>
    <row r="340" spans="1:1" x14ac:dyDescent="0.25">
      <c r="A340" s="2"/>
    </row>
    <row r="341" spans="1:1" ht="30" x14ac:dyDescent="0.25">
      <c r="A341" s="2" t="s">
        <v>681</v>
      </c>
    </row>
    <row r="342" spans="1:1" x14ac:dyDescent="0.25">
      <c r="A342" s="2"/>
    </row>
    <row r="343" spans="1:1" x14ac:dyDescent="0.25">
      <c r="A343" s="2" t="s">
        <v>682</v>
      </c>
    </row>
    <row r="344" spans="1:1" x14ac:dyDescent="0.25">
      <c r="A344" s="2"/>
    </row>
    <row r="345" spans="1:1" ht="30" x14ac:dyDescent="0.25">
      <c r="A345" s="2" t="s">
        <v>683</v>
      </c>
    </row>
    <row r="346" spans="1:1" x14ac:dyDescent="0.25">
      <c r="A346" s="2"/>
    </row>
    <row r="347" spans="1:1" x14ac:dyDescent="0.25">
      <c r="A347" s="2" t="s">
        <v>684</v>
      </c>
    </row>
    <row r="348" spans="1:1" x14ac:dyDescent="0.25">
      <c r="A348" s="2"/>
    </row>
    <row r="349" spans="1:1" x14ac:dyDescent="0.25">
      <c r="A349" s="2" t="s">
        <v>685</v>
      </c>
    </row>
    <row r="350" spans="1:1" x14ac:dyDescent="0.25">
      <c r="A350" s="2"/>
    </row>
    <row r="351" spans="1:1" ht="30" x14ac:dyDescent="0.25">
      <c r="A351" s="2" t="s">
        <v>686</v>
      </c>
    </row>
    <row r="352" spans="1:1" x14ac:dyDescent="0.25">
      <c r="A352" s="2"/>
    </row>
    <row r="353" spans="1:1" ht="30" x14ac:dyDescent="0.25">
      <c r="A353" s="2" t="s">
        <v>687</v>
      </c>
    </row>
    <row r="354" spans="1:1" x14ac:dyDescent="0.25">
      <c r="A354" s="2"/>
    </row>
    <row r="355" spans="1:1" ht="45" x14ac:dyDescent="0.25">
      <c r="A355" s="2" t="s">
        <v>688</v>
      </c>
    </row>
    <row r="356" spans="1:1" x14ac:dyDescent="0.25">
      <c r="A356" s="2"/>
    </row>
    <row r="357" spans="1:1" x14ac:dyDescent="0.25">
      <c r="A357" s="2" t="s">
        <v>689</v>
      </c>
    </row>
    <row r="358" spans="1:1" x14ac:dyDescent="0.25">
      <c r="A358" s="2"/>
    </row>
    <row r="359" spans="1:1" ht="30" x14ac:dyDescent="0.25">
      <c r="A359" s="2" t="s">
        <v>690</v>
      </c>
    </row>
    <row r="360" spans="1:1" x14ac:dyDescent="0.25">
      <c r="A360" s="2"/>
    </row>
    <row r="361" spans="1:1" ht="30" x14ac:dyDescent="0.25">
      <c r="A361" s="2" t="s">
        <v>691</v>
      </c>
    </row>
    <row r="362" spans="1:1" x14ac:dyDescent="0.25">
      <c r="A362" s="2"/>
    </row>
    <row r="363" spans="1:1" ht="30" x14ac:dyDescent="0.25">
      <c r="A363" s="2" t="s">
        <v>692</v>
      </c>
    </row>
    <row r="364" spans="1:1" x14ac:dyDescent="0.25">
      <c r="A364" s="2"/>
    </row>
    <row r="365" spans="1:1" ht="90" x14ac:dyDescent="0.25">
      <c r="A365" s="2" t="s">
        <v>693</v>
      </c>
    </row>
    <row r="366" spans="1:1" x14ac:dyDescent="0.25">
      <c r="A366" s="2"/>
    </row>
    <row r="367" spans="1:1" ht="30" x14ac:dyDescent="0.25">
      <c r="A367" s="2" t="s">
        <v>694</v>
      </c>
    </row>
    <row r="368" spans="1:1" x14ac:dyDescent="0.25">
      <c r="A368" s="2"/>
    </row>
    <row r="369" spans="1:1" x14ac:dyDescent="0.25">
      <c r="A369" s="2"/>
    </row>
    <row r="370" spans="1:1" x14ac:dyDescent="0.25">
      <c r="A370" s="2"/>
    </row>
    <row r="371" spans="1:1" x14ac:dyDescent="0.25">
      <c r="A371" s="441" t="s">
        <v>695</v>
      </c>
    </row>
    <row r="372" spans="1:1" x14ac:dyDescent="0.25">
      <c r="A372" s="2"/>
    </row>
    <row r="373" spans="1:1" ht="30" x14ac:dyDescent="0.25">
      <c r="A373" s="2" t="s">
        <v>696</v>
      </c>
    </row>
    <row r="374" spans="1:1" x14ac:dyDescent="0.25">
      <c r="A374" s="2"/>
    </row>
    <row r="375" spans="1:1" ht="90" x14ac:dyDescent="0.25">
      <c r="A375" s="2" t="s">
        <v>697</v>
      </c>
    </row>
    <row r="376" spans="1:1" x14ac:dyDescent="0.25">
      <c r="A376" s="2"/>
    </row>
    <row r="377" spans="1:1" x14ac:dyDescent="0.25">
      <c r="A377" s="2" t="s">
        <v>698</v>
      </c>
    </row>
    <row r="378" spans="1:1" x14ac:dyDescent="0.25">
      <c r="A378" s="2"/>
    </row>
    <row r="379" spans="1:1" x14ac:dyDescent="0.25">
      <c r="A379" s="2" t="s">
        <v>699</v>
      </c>
    </row>
    <row r="380" spans="1:1" x14ac:dyDescent="0.25">
      <c r="A380" s="2"/>
    </row>
    <row r="381" spans="1:1" x14ac:dyDescent="0.25">
      <c r="A381" s="2" t="s">
        <v>700</v>
      </c>
    </row>
    <row r="382" spans="1:1" x14ac:dyDescent="0.25">
      <c r="A382" s="2"/>
    </row>
    <row r="383" spans="1:1" x14ac:dyDescent="0.25">
      <c r="A383" s="2" t="s">
        <v>701</v>
      </c>
    </row>
    <row r="384" spans="1:1" x14ac:dyDescent="0.25">
      <c r="A384" s="2"/>
    </row>
    <row r="385" spans="1:1" x14ac:dyDescent="0.25">
      <c r="A385" s="2" t="s">
        <v>702</v>
      </c>
    </row>
    <row r="386" spans="1:1" x14ac:dyDescent="0.25">
      <c r="A386" s="2"/>
    </row>
    <row r="387" spans="1:1" ht="30" x14ac:dyDescent="0.25">
      <c r="A387" s="2" t="s">
        <v>703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pageSetUpPr autoPageBreaks="0"/>
  </sheetPr>
  <dimension ref="A1:Z172"/>
  <sheetViews>
    <sheetView zoomScaleNormal="100" workbookViewId="0">
      <selection activeCell="C75" sqref="C75"/>
    </sheetView>
  </sheetViews>
  <sheetFormatPr defaultColWidth="9.140625" defaultRowHeight="15.75" x14ac:dyDescent="0.25"/>
  <cols>
    <col min="1" max="1" width="40.85546875" style="162" customWidth="1"/>
    <col min="2" max="2" width="33.140625" style="162" customWidth="1"/>
    <col min="3" max="3" width="29.85546875" style="162" customWidth="1"/>
    <col min="4" max="4" width="26.5703125" style="162" customWidth="1"/>
    <col min="5" max="5" width="24.7109375" style="162" customWidth="1"/>
    <col min="6" max="6" width="32.28515625" style="162" customWidth="1"/>
    <col min="7" max="7" width="23" style="162" customWidth="1"/>
    <col min="8" max="8" width="31.42578125" style="162" customWidth="1"/>
    <col min="9" max="9" width="26.42578125" style="162" customWidth="1"/>
    <col min="10" max="10" width="20.140625" style="162" customWidth="1"/>
    <col min="11" max="11" width="32" style="162" customWidth="1"/>
    <col min="12" max="12" width="15.140625" style="162" customWidth="1"/>
    <col min="13" max="16384" width="9.140625" style="162"/>
  </cols>
  <sheetData>
    <row r="1" spans="1:26" s="203" customFormat="1" ht="9" customHeight="1" x14ac:dyDescent="0.25">
      <c r="A1" s="625"/>
      <c r="B1" s="626"/>
      <c r="C1" s="626"/>
      <c r="D1" s="627"/>
      <c r="E1" s="200"/>
      <c r="F1" s="201"/>
      <c r="G1" s="201"/>
      <c r="H1" s="201"/>
      <c r="I1" s="201"/>
      <c r="J1" s="201"/>
      <c r="K1" s="201"/>
      <c r="L1" s="201"/>
      <c r="M1" s="202"/>
      <c r="N1" s="202"/>
      <c r="O1" s="202"/>
      <c r="P1" s="202"/>
      <c r="Q1" s="202"/>
      <c r="R1" s="202"/>
      <c r="S1" s="202"/>
      <c r="T1" s="202"/>
      <c r="U1" s="202"/>
      <c r="V1" s="202"/>
      <c r="W1" s="202"/>
      <c r="X1" s="202"/>
      <c r="Y1" s="202"/>
      <c r="Z1" s="202"/>
    </row>
    <row r="2" spans="1:26" s="203" customFormat="1" ht="27" customHeight="1" x14ac:dyDescent="0.25">
      <c r="A2" s="628" t="s">
        <v>355</v>
      </c>
      <c r="B2" s="629"/>
      <c r="C2" s="629"/>
      <c r="D2" s="630"/>
      <c r="E2" s="204"/>
      <c r="F2" s="201"/>
      <c r="G2" s="201"/>
      <c r="H2" s="201"/>
      <c r="I2" s="201"/>
      <c r="J2" s="201"/>
      <c r="K2" s="201"/>
      <c r="L2" s="201"/>
      <c r="M2" s="202"/>
      <c r="N2" s="202"/>
      <c r="O2" s="202"/>
      <c r="P2" s="202"/>
      <c r="Q2" s="202"/>
      <c r="R2" s="202"/>
      <c r="S2" s="202"/>
      <c r="T2" s="202"/>
      <c r="U2" s="202"/>
      <c r="V2" s="202"/>
      <c r="W2" s="202"/>
      <c r="X2" s="202"/>
      <c r="Y2" s="202"/>
      <c r="Z2" s="202"/>
    </row>
    <row r="3" spans="1:26" s="203" customFormat="1" ht="21" customHeight="1" x14ac:dyDescent="0.25">
      <c r="A3" s="205" t="s">
        <v>898</v>
      </c>
      <c r="B3" s="206"/>
      <c r="C3" s="206"/>
      <c r="D3" s="206"/>
      <c r="E3" s="207"/>
      <c r="F3" s="201"/>
      <c r="G3" s="201"/>
      <c r="H3" s="201"/>
      <c r="I3" s="201"/>
      <c r="J3" s="201"/>
      <c r="K3" s="201"/>
      <c r="L3" s="201"/>
      <c r="M3" s="202"/>
      <c r="N3" s="202"/>
      <c r="O3" s="202"/>
      <c r="P3" s="202"/>
      <c r="Q3" s="202"/>
      <c r="R3" s="202"/>
      <c r="S3" s="202"/>
      <c r="T3" s="202"/>
      <c r="U3" s="202"/>
      <c r="V3" s="202"/>
      <c r="W3" s="202"/>
      <c r="X3" s="202"/>
      <c r="Y3" s="202"/>
      <c r="Z3" s="202"/>
    </row>
    <row r="4" spans="1:26" s="203" customFormat="1" ht="36" customHeight="1" x14ac:dyDescent="0.25">
      <c r="A4" s="631" t="s">
        <v>395</v>
      </c>
      <c r="B4" s="632"/>
      <c r="C4" s="632"/>
      <c r="D4" s="632"/>
      <c r="E4" s="633"/>
      <c r="F4" s="201"/>
      <c r="G4" s="201"/>
      <c r="H4" s="201"/>
      <c r="I4" s="201"/>
      <c r="J4" s="201"/>
      <c r="K4" s="201"/>
      <c r="L4" s="201"/>
      <c r="M4" s="202"/>
      <c r="N4" s="202"/>
      <c r="O4" s="202"/>
      <c r="P4" s="202"/>
      <c r="Q4" s="202"/>
      <c r="R4" s="202"/>
      <c r="S4" s="202"/>
      <c r="T4" s="202"/>
      <c r="U4" s="202"/>
      <c r="V4" s="202"/>
      <c r="W4" s="202"/>
      <c r="X4" s="202"/>
      <c r="Y4" s="202"/>
      <c r="Z4" s="202"/>
    </row>
    <row r="5" spans="1:26" ht="52.5" customHeight="1" x14ac:dyDescent="0.25">
      <c r="A5" s="208" t="s">
        <v>259</v>
      </c>
      <c r="B5" s="209" t="s">
        <v>260</v>
      </c>
      <c r="C5" s="634" t="s">
        <v>899</v>
      </c>
      <c r="D5" s="634"/>
      <c r="E5" s="210" t="s">
        <v>261</v>
      </c>
      <c r="F5" s="201"/>
      <c r="G5" s="201"/>
      <c r="H5" s="201"/>
      <c r="I5" s="201"/>
      <c r="J5" s="201"/>
      <c r="K5" s="201"/>
      <c r="L5" s="201"/>
      <c r="M5" s="211"/>
      <c r="N5" s="211"/>
      <c r="O5" s="211"/>
      <c r="P5" s="211"/>
      <c r="Q5" s="211"/>
      <c r="R5" s="211"/>
      <c r="S5" s="211"/>
      <c r="T5" s="211"/>
      <c r="U5" s="211"/>
      <c r="V5" s="211"/>
      <c r="W5" s="211"/>
      <c r="X5" s="211"/>
      <c r="Y5" s="211"/>
      <c r="Z5" s="211"/>
    </row>
    <row r="6" spans="1:26" x14ac:dyDescent="0.25">
      <c r="A6" s="212"/>
      <c r="B6" s="213"/>
      <c r="C6" s="636"/>
      <c r="D6" s="636"/>
      <c r="E6" s="214"/>
      <c r="F6" s="201"/>
      <c r="G6" s="201"/>
      <c r="H6" s="201"/>
      <c r="I6" s="201"/>
      <c r="J6" s="201"/>
      <c r="K6" s="201"/>
      <c r="L6" s="201"/>
      <c r="M6" s="211"/>
      <c r="N6" s="211"/>
      <c r="O6" s="211"/>
      <c r="P6" s="211"/>
      <c r="Q6" s="211"/>
      <c r="R6" s="211"/>
      <c r="S6" s="211"/>
      <c r="T6" s="211"/>
      <c r="U6" s="211"/>
      <c r="V6" s="211"/>
      <c r="W6" s="211"/>
      <c r="X6" s="211"/>
      <c r="Y6" s="211"/>
      <c r="Z6" s="211"/>
    </row>
    <row r="7" spans="1:26" x14ac:dyDescent="0.25">
      <c r="A7" s="212"/>
      <c r="B7" s="213"/>
      <c r="C7" s="637"/>
      <c r="D7" s="637"/>
      <c r="E7" s="214"/>
      <c r="F7" s="201"/>
      <c r="G7" s="201"/>
      <c r="H7" s="201"/>
      <c r="I7" s="201"/>
      <c r="J7" s="201"/>
      <c r="K7" s="201"/>
      <c r="L7" s="201"/>
      <c r="M7" s="211"/>
      <c r="N7" s="211"/>
      <c r="O7" s="211"/>
      <c r="P7" s="211"/>
      <c r="Q7" s="211"/>
      <c r="R7" s="211"/>
      <c r="S7" s="211"/>
      <c r="T7" s="211"/>
      <c r="U7" s="211"/>
      <c r="V7" s="211"/>
      <c r="W7" s="211"/>
      <c r="X7" s="211"/>
      <c r="Y7" s="211"/>
      <c r="Z7" s="211"/>
    </row>
    <row r="8" spans="1:26" x14ac:dyDescent="0.25">
      <c r="A8" s="212"/>
      <c r="B8" s="213"/>
      <c r="C8" s="637"/>
      <c r="D8" s="637"/>
      <c r="E8" s="214"/>
      <c r="F8" s="201"/>
      <c r="G8" s="201"/>
      <c r="H8" s="201"/>
      <c r="I8" s="201"/>
      <c r="J8" s="201"/>
      <c r="K8" s="201"/>
      <c r="L8" s="201"/>
      <c r="M8" s="211"/>
      <c r="N8" s="211"/>
      <c r="O8" s="211"/>
      <c r="P8" s="211"/>
      <c r="Q8" s="211"/>
      <c r="R8" s="211"/>
      <c r="S8" s="211"/>
      <c r="T8" s="211"/>
      <c r="U8" s="211"/>
      <c r="V8" s="211"/>
      <c r="W8" s="211"/>
      <c r="X8" s="211"/>
      <c r="Y8" s="211"/>
      <c r="Z8" s="211"/>
    </row>
    <row r="9" spans="1:26" x14ac:dyDescent="0.25">
      <c r="A9" s="212"/>
      <c r="B9" s="213"/>
      <c r="C9" s="637"/>
      <c r="D9" s="637"/>
      <c r="E9" s="214"/>
      <c r="F9" s="201"/>
      <c r="G9" s="201"/>
      <c r="H9" s="201"/>
      <c r="I9" s="201"/>
      <c r="J9" s="201"/>
      <c r="K9" s="201"/>
      <c r="L9" s="201"/>
      <c r="M9" s="211"/>
      <c r="N9" s="211"/>
      <c r="O9" s="211"/>
      <c r="P9" s="211"/>
      <c r="Q9" s="211"/>
      <c r="R9" s="211"/>
      <c r="S9" s="211"/>
      <c r="T9" s="211"/>
      <c r="U9" s="211"/>
      <c r="V9" s="211"/>
      <c r="W9" s="211"/>
      <c r="X9" s="211"/>
      <c r="Y9" s="211"/>
      <c r="Z9" s="211"/>
    </row>
    <row r="10" spans="1:26" x14ac:dyDescent="0.25">
      <c r="A10" s="212"/>
      <c r="B10" s="213"/>
      <c r="C10" s="637"/>
      <c r="D10" s="637"/>
      <c r="E10" s="214"/>
      <c r="F10" s="201"/>
      <c r="G10" s="201"/>
      <c r="H10" s="201"/>
      <c r="I10" s="201"/>
      <c r="J10" s="201"/>
      <c r="K10" s="201"/>
      <c r="L10" s="201"/>
      <c r="M10" s="211"/>
      <c r="N10" s="211"/>
      <c r="O10" s="211"/>
      <c r="P10" s="211"/>
      <c r="Q10" s="211"/>
      <c r="R10" s="211"/>
      <c r="S10" s="211"/>
      <c r="T10" s="211"/>
      <c r="U10" s="211"/>
      <c r="V10" s="211"/>
      <c r="W10" s="211"/>
      <c r="X10" s="211"/>
      <c r="Y10" s="211"/>
      <c r="Z10" s="211"/>
    </row>
    <row r="11" spans="1:26" x14ac:dyDescent="0.25">
      <c r="A11" s="212"/>
      <c r="B11" s="213"/>
      <c r="C11" s="637"/>
      <c r="D11" s="637"/>
      <c r="E11" s="214"/>
      <c r="F11" s="201"/>
      <c r="G11" s="201"/>
      <c r="H11" s="201"/>
      <c r="I11" s="201"/>
      <c r="J11" s="201"/>
      <c r="K11" s="201"/>
      <c r="L11" s="201"/>
      <c r="M11" s="211"/>
      <c r="N11" s="211"/>
      <c r="O11" s="211"/>
      <c r="P11" s="211"/>
      <c r="Q11" s="211"/>
      <c r="R11" s="211"/>
      <c r="S11" s="211"/>
      <c r="T11" s="211"/>
      <c r="U11" s="211"/>
      <c r="V11" s="211"/>
      <c r="W11" s="211"/>
      <c r="X11" s="211"/>
      <c r="Y11" s="211"/>
      <c r="Z11" s="211"/>
    </row>
    <row r="12" spans="1:26" x14ac:dyDescent="0.25">
      <c r="A12" s="215"/>
      <c r="B12" s="160"/>
      <c r="C12" s="635"/>
      <c r="D12" s="635"/>
      <c r="E12" s="216"/>
      <c r="F12" s="201"/>
      <c r="G12" s="201"/>
      <c r="H12" s="201"/>
      <c r="I12" s="201"/>
      <c r="J12" s="201"/>
      <c r="K12" s="201"/>
      <c r="L12" s="201"/>
      <c r="M12" s="211"/>
      <c r="N12" s="211"/>
      <c r="O12" s="211"/>
      <c r="P12" s="211"/>
      <c r="Q12" s="211"/>
      <c r="R12" s="211"/>
      <c r="S12" s="211"/>
      <c r="T12" s="211"/>
      <c r="U12" s="211"/>
      <c r="V12" s="211"/>
      <c r="W12" s="211"/>
      <c r="X12" s="211"/>
      <c r="Y12" s="211"/>
      <c r="Z12" s="211"/>
    </row>
    <row r="13" spans="1:26" ht="16.5" thickBot="1" x14ac:dyDescent="0.3">
      <c r="A13" s="305" t="s">
        <v>396</v>
      </c>
      <c r="B13" s="306"/>
      <c r="C13" s="306"/>
      <c r="D13" s="306"/>
      <c r="E13" s="217"/>
      <c r="F13" s="218"/>
      <c r="G13" s="218"/>
      <c r="H13" s="218"/>
      <c r="I13" s="218"/>
      <c r="J13" s="218"/>
      <c r="K13" s="218"/>
      <c r="L13" s="201"/>
      <c r="M13" s="211"/>
      <c r="N13" s="211"/>
      <c r="O13" s="211"/>
      <c r="P13" s="211"/>
      <c r="Q13" s="211"/>
      <c r="R13" s="211"/>
      <c r="S13" s="211"/>
      <c r="T13" s="211"/>
      <c r="U13" s="211"/>
      <c r="V13" s="211"/>
      <c r="W13" s="211"/>
      <c r="X13" s="211"/>
      <c r="Y13" s="211"/>
      <c r="Z13" s="211"/>
    </row>
    <row r="14" spans="1:26" x14ac:dyDescent="0.25">
      <c r="A14" s="620" t="s">
        <v>900</v>
      </c>
      <c r="B14" s="621"/>
      <c r="C14" s="622"/>
      <c r="D14" s="307">
        <v>0</v>
      </c>
      <c r="E14" s="218"/>
      <c r="F14" s="218"/>
      <c r="G14" s="218"/>
      <c r="H14" s="218"/>
      <c r="I14" s="218"/>
      <c r="J14" s="218"/>
      <c r="K14" s="218"/>
      <c r="L14" s="201"/>
      <c r="M14" s="211"/>
      <c r="N14" s="211"/>
      <c r="O14" s="211"/>
      <c r="P14" s="211"/>
      <c r="Q14" s="211"/>
      <c r="R14" s="211"/>
      <c r="S14" s="211"/>
      <c r="T14" s="211"/>
      <c r="U14" s="211"/>
      <c r="V14" s="211"/>
      <c r="W14" s="211"/>
      <c r="X14" s="211"/>
      <c r="Y14" s="211"/>
      <c r="Z14" s="211"/>
    </row>
    <row r="15" spans="1:26" x14ac:dyDescent="0.25">
      <c r="A15" s="623" t="s">
        <v>901</v>
      </c>
      <c r="B15" s="624"/>
      <c r="C15" s="624"/>
      <c r="D15" s="308">
        <v>0</v>
      </c>
      <c r="E15" s="218"/>
      <c r="F15" s="218"/>
      <c r="G15" s="218"/>
      <c r="H15" s="218"/>
      <c r="I15" s="218"/>
      <c r="J15" s="218"/>
      <c r="K15" s="218"/>
      <c r="L15" s="201"/>
      <c r="M15" s="211"/>
      <c r="N15" s="211"/>
      <c r="O15" s="211"/>
      <c r="P15" s="211"/>
      <c r="Q15" s="211"/>
      <c r="R15" s="211"/>
      <c r="S15" s="211"/>
      <c r="T15" s="211"/>
      <c r="U15" s="211"/>
      <c r="V15" s="211"/>
      <c r="W15" s="211"/>
      <c r="X15" s="211"/>
      <c r="Y15" s="211"/>
      <c r="Z15" s="211"/>
    </row>
    <row r="16" spans="1:26" x14ac:dyDescent="0.25">
      <c r="A16" s="591" t="s">
        <v>902</v>
      </c>
      <c r="B16" s="592"/>
      <c r="C16" s="593"/>
      <c r="D16" s="219">
        <v>0</v>
      </c>
      <c r="E16" s="220"/>
      <c r="F16" s="220"/>
      <c r="G16" s="220"/>
      <c r="H16" s="220"/>
      <c r="I16" s="220"/>
      <c r="J16" s="220"/>
      <c r="K16" s="220"/>
      <c r="L16" s="201"/>
      <c r="M16" s="211"/>
      <c r="N16" s="211"/>
      <c r="O16" s="211"/>
      <c r="P16" s="211"/>
      <c r="Q16" s="211"/>
      <c r="R16" s="211"/>
      <c r="S16" s="211"/>
      <c r="T16" s="211"/>
      <c r="U16" s="211"/>
      <c r="V16" s="211"/>
      <c r="W16" s="211"/>
      <c r="X16" s="211"/>
      <c r="Y16" s="211"/>
      <c r="Z16" s="211"/>
    </row>
    <row r="17" spans="1:26" ht="16.5" thickBot="1" x14ac:dyDescent="0.3">
      <c r="A17" s="589" t="s">
        <v>903</v>
      </c>
      <c r="B17" s="590"/>
      <c r="C17" s="590"/>
      <c r="D17" s="309">
        <v>0</v>
      </c>
      <c r="E17" s="220"/>
      <c r="F17" s="220"/>
      <c r="G17" s="220"/>
      <c r="H17" s="220"/>
      <c r="I17" s="220"/>
      <c r="J17" s="220"/>
      <c r="K17" s="220"/>
      <c r="L17" s="201"/>
      <c r="M17" s="211"/>
      <c r="N17" s="211"/>
      <c r="O17" s="211"/>
      <c r="P17" s="211"/>
      <c r="Q17" s="211"/>
      <c r="R17" s="211"/>
      <c r="S17" s="211"/>
      <c r="T17" s="211"/>
      <c r="U17" s="211"/>
      <c r="V17" s="211"/>
      <c r="W17" s="211"/>
      <c r="X17" s="211"/>
      <c r="Y17" s="211"/>
      <c r="Z17" s="211"/>
    </row>
    <row r="18" spans="1:26" ht="66" customHeight="1" x14ac:dyDescent="0.3">
      <c r="A18" s="594" t="s">
        <v>917</v>
      </c>
      <c r="B18" s="595"/>
      <c r="C18" s="221" t="s">
        <v>236</v>
      </c>
      <c r="D18" s="638"/>
      <c r="E18" s="639"/>
      <c r="F18" s="270"/>
      <c r="G18" s="218"/>
      <c r="H18" s="220"/>
      <c r="I18" s="220"/>
      <c r="J18" s="220"/>
      <c r="K18" s="220"/>
      <c r="L18" s="201"/>
      <c r="M18" s="211"/>
      <c r="N18" s="211"/>
      <c r="O18" s="211"/>
      <c r="P18" s="211"/>
      <c r="Q18" s="211"/>
      <c r="R18" s="211"/>
      <c r="S18" s="211"/>
      <c r="T18" s="211"/>
      <c r="U18" s="211"/>
      <c r="V18" s="211"/>
      <c r="W18" s="211"/>
      <c r="X18" s="211"/>
      <c r="Y18" s="211"/>
      <c r="Z18" s="211"/>
    </row>
    <row r="19" spans="1:26" ht="61.5" customHeight="1" x14ac:dyDescent="0.25">
      <c r="A19" s="253" t="s">
        <v>906</v>
      </c>
      <c r="B19" s="409" t="s">
        <v>390</v>
      </c>
      <c r="C19" s="245" t="s">
        <v>439</v>
      </c>
      <c r="D19" s="245" t="s">
        <v>476</v>
      </c>
      <c r="E19" s="293" t="s">
        <v>1</v>
      </c>
      <c r="F19" s="228" t="s">
        <v>294</v>
      </c>
      <c r="G19" s="218"/>
      <c r="H19" s="220"/>
      <c r="I19" s="220"/>
      <c r="J19" s="220"/>
      <c r="K19" s="220"/>
      <c r="L19" s="201"/>
    </row>
    <row r="20" spans="1:26" ht="16.5" customHeight="1" x14ac:dyDescent="0.25">
      <c r="A20" s="432"/>
      <c r="B20" s="268"/>
      <c r="C20" s="268"/>
      <c r="D20" s="269"/>
      <c r="E20" s="232"/>
      <c r="F20" s="234" t="s">
        <v>208</v>
      </c>
      <c r="G20" s="218"/>
      <c r="H20" s="220"/>
      <c r="I20" s="220"/>
      <c r="J20" s="220"/>
      <c r="K20" s="220"/>
      <c r="L20" s="201"/>
      <c r="M20" s="211"/>
      <c r="N20" s="211"/>
      <c r="O20" s="211"/>
      <c r="P20" s="211"/>
      <c r="Q20" s="211"/>
      <c r="R20" s="211"/>
      <c r="S20" s="211"/>
      <c r="T20" s="211"/>
      <c r="U20" s="211"/>
      <c r="V20" s="211"/>
      <c r="W20" s="211"/>
      <c r="X20" s="211"/>
      <c r="Y20" s="211"/>
      <c r="Z20" s="211"/>
    </row>
    <row r="21" spans="1:26" ht="16.5" customHeight="1" x14ac:dyDescent="0.25">
      <c r="A21" s="432"/>
      <c r="B21" s="268"/>
      <c r="C21" s="268"/>
      <c r="D21" s="269"/>
      <c r="E21" s="232"/>
      <c r="F21" s="234"/>
      <c r="G21" s="218"/>
      <c r="H21" s="220"/>
      <c r="I21" s="220"/>
      <c r="J21" s="220"/>
      <c r="K21" s="220"/>
      <c r="L21" s="201"/>
      <c r="M21" s="211"/>
      <c r="N21" s="211"/>
      <c r="O21" s="211"/>
      <c r="P21" s="211"/>
      <c r="Q21" s="211"/>
      <c r="R21" s="211"/>
      <c r="S21" s="211"/>
      <c r="T21" s="211"/>
      <c r="U21" s="211"/>
      <c r="V21" s="211"/>
      <c r="W21" s="211"/>
      <c r="X21" s="211"/>
      <c r="Y21" s="211"/>
      <c r="Z21" s="211"/>
    </row>
    <row r="22" spans="1:26" ht="16.5" customHeight="1" x14ac:dyDescent="0.25">
      <c r="A22" s="432"/>
      <c r="B22" s="268"/>
      <c r="C22" s="268"/>
      <c r="D22" s="269"/>
      <c r="E22" s="232"/>
      <c r="F22" s="234"/>
      <c r="G22" s="218"/>
      <c r="H22" s="220"/>
      <c r="I22" s="220"/>
      <c r="J22" s="220"/>
      <c r="K22" s="220"/>
      <c r="L22" s="201"/>
      <c r="M22" s="211"/>
      <c r="N22" s="211"/>
      <c r="O22" s="211"/>
      <c r="P22" s="211"/>
      <c r="Q22" s="211"/>
      <c r="R22" s="211"/>
      <c r="S22" s="211"/>
      <c r="T22" s="211"/>
      <c r="U22" s="211"/>
      <c r="V22" s="211"/>
      <c r="W22" s="211"/>
      <c r="X22" s="211"/>
      <c r="Y22" s="211"/>
      <c r="Z22" s="211"/>
    </row>
    <row r="23" spans="1:26" ht="16.5" customHeight="1" x14ac:dyDescent="0.25">
      <c r="A23" s="432"/>
      <c r="B23" s="268"/>
      <c r="C23" s="268"/>
      <c r="D23" s="269"/>
      <c r="E23" s="232"/>
      <c r="F23" s="234"/>
      <c r="G23" s="218"/>
      <c r="H23" s="220"/>
      <c r="I23" s="220"/>
      <c r="J23" s="220"/>
      <c r="K23" s="220"/>
      <c r="L23" s="201"/>
      <c r="M23" s="211"/>
      <c r="N23" s="211"/>
      <c r="O23" s="211"/>
      <c r="P23" s="211"/>
      <c r="Q23" s="211"/>
      <c r="R23" s="211"/>
      <c r="S23" s="211"/>
      <c r="T23" s="211"/>
      <c r="U23" s="211"/>
      <c r="V23" s="211"/>
      <c r="W23" s="211"/>
      <c r="X23" s="211"/>
      <c r="Y23" s="211"/>
      <c r="Z23" s="211"/>
    </row>
    <row r="24" spans="1:26" ht="16.5" customHeight="1" x14ac:dyDescent="0.25">
      <c r="A24" s="432"/>
      <c r="B24" s="268"/>
      <c r="C24" s="268"/>
      <c r="D24" s="269"/>
      <c r="E24" s="232"/>
      <c r="F24" s="234"/>
      <c r="G24" s="218"/>
      <c r="H24" s="220"/>
      <c r="I24" s="220"/>
      <c r="J24" s="220"/>
      <c r="K24" s="220"/>
      <c r="L24" s="201"/>
      <c r="M24" s="211"/>
      <c r="N24" s="211"/>
      <c r="O24" s="211"/>
      <c r="P24" s="211"/>
      <c r="Q24" s="211"/>
      <c r="R24" s="211"/>
      <c r="S24" s="211"/>
      <c r="T24" s="211"/>
      <c r="U24" s="211"/>
      <c r="V24" s="211"/>
      <c r="W24" s="211"/>
      <c r="X24" s="211"/>
      <c r="Y24" s="211"/>
      <c r="Z24" s="211"/>
    </row>
    <row r="25" spans="1:26" ht="19.5" customHeight="1" x14ac:dyDescent="0.25">
      <c r="A25" s="432"/>
      <c r="B25" s="268"/>
      <c r="C25" s="268"/>
      <c r="D25" s="269"/>
      <c r="E25" s="232"/>
      <c r="F25" s="234"/>
      <c r="G25" s="271"/>
      <c r="H25" s="220"/>
      <c r="I25" s="220"/>
      <c r="J25" s="220"/>
      <c r="K25" s="220"/>
      <c r="L25" s="201"/>
      <c r="M25" s="211"/>
      <c r="N25" s="211"/>
      <c r="O25" s="211"/>
      <c r="P25" s="211"/>
      <c r="Q25" s="211"/>
      <c r="R25" s="211"/>
      <c r="S25" s="211"/>
      <c r="T25" s="211"/>
      <c r="U25" s="211"/>
      <c r="V25" s="211"/>
      <c r="W25" s="211"/>
      <c r="X25" s="211"/>
      <c r="Y25" s="211"/>
      <c r="Z25" s="211"/>
    </row>
    <row r="26" spans="1:26" ht="19.5" customHeight="1" x14ac:dyDescent="0.25">
      <c r="A26" s="433"/>
      <c r="B26" s="294"/>
      <c r="C26" s="268"/>
      <c r="D26" s="269"/>
      <c r="E26" s="232"/>
      <c r="F26" s="234"/>
      <c r="G26" s="271"/>
      <c r="H26" s="220"/>
      <c r="I26" s="220"/>
      <c r="J26" s="220"/>
      <c r="K26" s="220"/>
      <c r="L26" s="201"/>
      <c r="M26" s="211"/>
      <c r="N26" s="211"/>
      <c r="O26" s="211"/>
      <c r="P26" s="211"/>
      <c r="Q26" s="211"/>
      <c r="R26" s="211"/>
      <c r="S26" s="211"/>
      <c r="T26" s="211"/>
      <c r="U26" s="211"/>
      <c r="V26" s="211"/>
      <c r="W26" s="211"/>
      <c r="X26" s="211"/>
      <c r="Y26" s="211"/>
      <c r="Z26" s="211"/>
    </row>
    <row r="27" spans="1:26" ht="19.5" customHeight="1" x14ac:dyDescent="0.25">
      <c r="A27" s="605"/>
      <c r="B27" s="605"/>
      <c r="C27" s="605"/>
      <c r="D27" s="605"/>
      <c r="E27" s="605"/>
      <c r="F27" s="606"/>
      <c r="G27" s="271"/>
      <c r="H27" s="220"/>
      <c r="I27" s="220"/>
      <c r="J27" s="220"/>
      <c r="K27" s="220"/>
      <c r="L27" s="201"/>
      <c r="M27" s="211"/>
      <c r="N27" s="211"/>
      <c r="O27" s="211"/>
      <c r="P27" s="211"/>
      <c r="Q27" s="211"/>
      <c r="R27" s="211"/>
      <c r="S27" s="211"/>
      <c r="T27" s="211"/>
      <c r="U27" s="211"/>
      <c r="V27" s="211"/>
      <c r="W27" s="211"/>
      <c r="X27" s="211"/>
      <c r="Y27" s="211"/>
      <c r="Z27" s="211"/>
    </row>
    <row r="28" spans="1:26" ht="58.5" customHeight="1" x14ac:dyDescent="0.25">
      <c r="A28" s="596" t="s">
        <v>916</v>
      </c>
      <c r="B28" s="597"/>
      <c r="C28" s="221" t="s">
        <v>236</v>
      </c>
      <c r="D28" s="617"/>
      <c r="E28" s="618"/>
      <c r="F28" s="619"/>
      <c r="G28" s="271"/>
      <c r="H28" s="220"/>
      <c r="I28" s="220"/>
      <c r="J28" s="220"/>
      <c r="K28" s="220"/>
      <c r="L28" s="201"/>
      <c r="M28" s="211"/>
      <c r="N28" s="211"/>
      <c r="O28" s="211"/>
      <c r="P28" s="211"/>
      <c r="Q28" s="211"/>
      <c r="R28" s="211"/>
      <c r="S28" s="211"/>
      <c r="T28" s="211"/>
      <c r="U28" s="211"/>
      <c r="V28" s="211"/>
      <c r="W28" s="211"/>
      <c r="X28" s="211"/>
      <c r="Y28" s="211"/>
      <c r="Z28" s="211"/>
    </row>
    <row r="29" spans="1:26" ht="72.75" customHeight="1" x14ac:dyDescent="0.25">
      <c r="A29" s="253" t="s">
        <v>904</v>
      </c>
      <c r="B29" s="409" t="s">
        <v>390</v>
      </c>
      <c r="C29" s="245" t="s">
        <v>439</v>
      </c>
      <c r="D29" s="239" t="s">
        <v>905</v>
      </c>
      <c r="E29" s="293" t="s">
        <v>1</v>
      </c>
      <c r="F29" s="228" t="s">
        <v>294</v>
      </c>
      <c r="G29" s="271"/>
      <c r="H29" s="220"/>
      <c r="I29" s="220"/>
      <c r="J29" s="220"/>
      <c r="K29" s="220"/>
      <c r="L29" s="201"/>
      <c r="M29" s="211"/>
      <c r="N29" s="211"/>
      <c r="O29" s="211"/>
      <c r="P29" s="211"/>
      <c r="Q29" s="211"/>
      <c r="R29" s="211"/>
      <c r="S29" s="211"/>
      <c r="T29" s="211"/>
      <c r="U29" s="211"/>
      <c r="V29" s="211"/>
      <c r="W29" s="211"/>
      <c r="X29" s="211"/>
      <c r="Y29" s="211"/>
      <c r="Z29" s="211"/>
    </row>
    <row r="30" spans="1:26" ht="12.75" customHeight="1" x14ac:dyDescent="0.25">
      <c r="A30" s="432"/>
      <c r="B30" s="268"/>
      <c r="C30" s="268"/>
      <c r="D30" s="269"/>
      <c r="E30" s="232"/>
      <c r="F30" s="234" t="s">
        <v>208</v>
      </c>
      <c r="G30" s="271"/>
      <c r="H30" s="220"/>
      <c r="I30" s="220"/>
      <c r="J30" s="220"/>
      <c r="K30" s="220"/>
      <c r="L30" s="201"/>
      <c r="M30" s="211"/>
      <c r="N30" s="211"/>
      <c r="O30" s="211"/>
      <c r="P30" s="211"/>
      <c r="Q30" s="211"/>
      <c r="R30" s="211"/>
      <c r="S30" s="211"/>
      <c r="T30" s="211"/>
      <c r="U30" s="211"/>
      <c r="V30" s="211"/>
      <c r="W30" s="211"/>
      <c r="X30" s="211"/>
      <c r="Y30" s="211"/>
      <c r="Z30" s="211"/>
    </row>
    <row r="31" spans="1:26" ht="12.75" customHeight="1" x14ac:dyDescent="0.25">
      <c r="A31" s="432"/>
      <c r="B31" s="268"/>
      <c r="C31" s="268"/>
      <c r="D31" s="269"/>
      <c r="E31" s="232"/>
      <c r="F31" s="234"/>
      <c r="G31" s="271"/>
      <c r="H31" s="220"/>
      <c r="I31" s="220"/>
      <c r="J31" s="220"/>
      <c r="K31" s="220"/>
      <c r="L31" s="201"/>
      <c r="M31" s="211"/>
      <c r="N31" s="211"/>
      <c r="O31" s="211"/>
      <c r="P31" s="211"/>
      <c r="Q31" s="211"/>
      <c r="R31" s="211"/>
      <c r="S31" s="211"/>
      <c r="T31" s="211"/>
      <c r="U31" s="211"/>
      <c r="V31" s="211"/>
      <c r="W31" s="211"/>
      <c r="X31" s="211"/>
      <c r="Y31" s="211"/>
      <c r="Z31" s="211"/>
    </row>
    <row r="32" spans="1:26" ht="12" customHeight="1" x14ac:dyDescent="0.25">
      <c r="A32" s="432"/>
      <c r="B32" s="268"/>
      <c r="C32" s="268"/>
      <c r="D32" s="269"/>
      <c r="E32" s="232"/>
      <c r="F32" s="234"/>
      <c r="G32" s="271"/>
      <c r="H32" s="220"/>
      <c r="I32" s="220"/>
      <c r="J32" s="220"/>
      <c r="K32" s="220"/>
      <c r="L32" s="201"/>
      <c r="M32" s="211"/>
      <c r="N32" s="211"/>
      <c r="O32" s="211"/>
      <c r="P32" s="211"/>
      <c r="Q32" s="211"/>
      <c r="R32" s="211"/>
      <c r="S32" s="211"/>
      <c r="T32" s="211"/>
      <c r="U32" s="211"/>
      <c r="V32" s="211"/>
      <c r="W32" s="211"/>
      <c r="X32" s="211"/>
      <c r="Y32" s="211"/>
      <c r="Z32" s="211"/>
    </row>
    <row r="33" spans="1:26" ht="12.75" customHeight="1" x14ac:dyDescent="0.25">
      <c r="A33" s="432"/>
      <c r="B33" s="268"/>
      <c r="C33" s="268"/>
      <c r="D33" s="269"/>
      <c r="E33" s="232"/>
      <c r="F33" s="234"/>
      <c r="G33" s="271"/>
      <c r="H33" s="220"/>
      <c r="I33" s="220"/>
      <c r="J33" s="220"/>
      <c r="K33" s="220"/>
      <c r="L33" s="201"/>
      <c r="M33" s="211"/>
      <c r="N33" s="211"/>
      <c r="O33" s="211"/>
      <c r="P33" s="211"/>
      <c r="Q33" s="211"/>
      <c r="R33" s="211"/>
      <c r="S33" s="211"/>
      <c r="T33" s="211"/>
      <c r="U33" s="211"/>
      <c r="V33" s="211"/>
      <c r="W33" s="211"/>
      <c r="X33" s="211"/>
      <c r="Y33" s="211"/>
      <c r="Z33" s="211"/>
    </row>
    <row r="34" spans="1:26" ht="12.75" customHeight="1" x14ac:dyDescent="0.25">
      <c r="A34" s="432"/>
      <c r="B34" s="268"/>
      <c r="C34" s="268"/>
      <c r="D34" s="269"/>
      <c r="E34" s="232"/>
      <c r="F34" s="234"/>
      <c r="G34" s="271"/>
      <c r="H34" s="220"/>
      <c r="I34" s="220"/>
      <c r="J34" s="220"/>
      <c r="K34" s="220"/>
      <c r="L34" s="201"/>
      <c r="M34" s="211"/>
      <c r="N34" s="211"/>
      <c r="O34" s="211"/>
      <c r="P34" s="211"/>
      <c r="Q34" s="211"/>
      <c r="R34" s="211"/>
      <c r="S34" s="211"/>
      <c r="T34" s="211"/>
      <c r="U34" s="211"/>
      <c r="V34" s="211"/>
      <c r="W34" s="211"/>
      <c r="X34" s="211"/>
      <c r="Y34" s="211"/>
      <c r="Z34" s="211"/>
    </row>
    <row r="35" spans="1:26" ht="12.75" customHeight="1" x14ac:dyDescent="0.25">
      <c r="A35" s="432"/>
      <c r="B35" s="268"/>
      <c r="C35" s="268"/>
      <c r="D35" s="269"/>
      <c r="E35" s="232"/>
      <c r="F35" s="234"/>
      <c r="G35" s="271"/>
      <c r="H35" s="220"/>
      <c r="I35" s="220"/>
      <c r="J35" s="220"/>
      <c r="K35" s="220"/>
      <c r="L35" s="201"/>
      <c r="M35" s="211"/>
      <c r="N35" s="211"/>
      <c r="O35" s="211"/>
      <c r="P35" s="211"/>
      <c r="Q35" s="211"/>
      <c r="R35" s="211"/>
      <c r="S35" s="211"/>
      <c r="T35" s="211"/>
      <c r="U35" s="211"/>
      <c r="V35" s="211"/>
      <c r="W35" s="211"/>
      <c r="X35" s="211"/>
      <c r="Y35" s="211"/>
      <c r="Z35" s="211"/>
    </row>
    <row r="36" spans="1:26" ht="12.75" customHeight="1" x14ac:dyDescent="0.25">
      <c r="A36" s="432"/>
      <c r="B36" s="268"/>
      <c r="C36" s="268"/>
      <c r="D36" s="375"/>
      <c r="E36" s="232"/>
      <c r="F36" s="234"/>
      <c r="G36" s="271"/>
      <c r="H36" s="220"/>
      <c r="I36" s="220"/>
      <c r="J36" s="220"/>
      <c r="K36" s="220"/>
      <c r="L36" s="201"/>
      <c r="M36" s="211"/>
      <c r="N36" s="211"/>
      <c r="O36" s="211"/>
      <c r="P36" s="211"/>
      <c r="Q36" s="211"/>
      <c r="R36" s="211"/>
      <c r="S36" s="211"/>
      <c r="T36" s="211"/>
      <c r="U36" s="211"/>
      <c r="V36" s="211"/>
      <c r="W36" s="211"/>
      <c r="X36" s="211"/>
      <c r="Y36" s="211"/>
      <c r="Z36" s="211"/>
    </row>
    <row r="37" spans="1:26" ht="12.75" customHeight="1" x14ac:dyDescent="0.25">
      <c r="A37" s="372"/>
      <c r="B37" s="374"/>
      <c r="C37" s="373"/>
      <c r="E37" s="376"/>
      <c r="F37" s="377"/>
      <c r="G37" s="271"/>
      <c r="H37" s="220"/>
      <c r="I37" s="220"/>
      <c r="J37" s="220"/>
      <c r="K37" s="220"/>
      <c r="L37" s="201"/>
      <c r="M37" s="211"/>
      <c r="N37" s="211"/>
      <c r="O37" s="211"/>
      <c r="P37" s="211"/>
      <c r="Q37" s="211"/>
      <c r="R37" s="211"/>
      <c r="S37" s="211"/>
      <c r="T37" s="211"/>
      <c r="U37" s="211"/>
      <c r="V37" s="211"/>
      <c r="W37" s="211"/>
      <c r="X37" s="211"/>
      <c r="Y37" s="211"/>
      <c r="Z37" s="211"/>
    </row>
    <row r="38" spans="1:26" s="223" customFormat="1" ht="85.5" customHeight="1" x14ac:dyDescent="0.25">
      <c r="A38" s="598" t="s">
        <v>915</v>
      </c>
      <c r="B38" s="599"/>
      <c r="C38" s="221" t="s">
        <v>236</v>
      </c>
      <c r="D38" s="607"/>
      <c r="E38" s="608"/>
      <c r="F38" s="609"/>
      <c r="G38" s="299"/>
      <c r="H38" s="302"/>
      <c r="I38" s="302"/>
      <c r="J38" s="302"/>
      <c r="K38" s="302"/>
      <c r="L38" s="201"/>
      <c r="M38" s="222"/>
      <c r="N38" s="222"/>
      <c r="O38" s="222"/>
      <c r="P38" s="222"/>
      <c r="Q38" s="222"/>
      <c r="R38" s="222"/>
      <c r="S38" s="222"/>
      <c r="T38" s="222"/>
      <c r="U38" s="222"/>
      <c r="V38" s="222"/>
      <c r="W38" s="222"/>
      <c r="X38" s="222"/>
      <c r="Y38" s="222"/>
      <c r="Z38" s="222"/>
    </row>
    <row r="39" spans="1:26" ht="41.25" customHeight="1" x14ac:dyDescent="0.25">
      <c r="A39" s="224" t="s">
        <v>906</v>
      </c>
      <c r="B39" s="225" t="s">
        <v>397</v>
      </c>
      <c r="C39" s="226" t="s">
        <v>273</v>
      </c>
      <c r="D39" s="227" t="s">
        <v>389</v>
      </c>
      <c r="E39" s="225" t="s">
        <v>1</v>
      </c>
      <c r="F39" s="228" t="s">
        <v>294</v>
      </c>
      <c r="G39" s="300"/>
      <c r="H39" s="300"/>
      <c r="I39" s="300"/>
      <c r="J39" s="300"/>
      <c r="K39" s="300"/>
      <c r="L39" s="201"/>
      <c r="M39" s="229"/>
      <c r="N39" s="229"/>
      <c r="O39" s="230"/>
      <c r="P39" s="230"/>
      <c r="Q39" s="230"/>
      <c r="R39" s="211"/>
      <c r="S39" s="211"/>
      <c r="T39" s="211"/>
      <c r="U39" s="211"/>
      <c r="V39" s="211"/>
      <c r="W39" s="211"/>
      <c r="X39" s="211"/>
      <c r="Y39" s="211"/>
      <c r="Z39" s="211"/>
    </row>
    <row r="40" spans="1:26" x14ac:dyDescent="0.25">
      <c r="A40" s="231"/>
      <c r="B40" s="232"/>
      <c r="C40" s="233"/>
      <c r="D40" s="232"/>
      <c r="E40" s="232"/>
      <c r="F40" s="234" t="s">
        <v>208</v>
      </c>
      <c r="G40" s="300"/>
      <c r="H40" s="300"/>
      <c r="I40" s="300"/>
      <c r="J40" s="300"/>
      <c r="K40" s="300"/>
      <c r="L40" s="201"/>
      <c r="M40" s="235"/>
      <c r="N40" s="211"/>
      <c r="O40" s="211"/>
      <c r="P40" s="211"/>
      <c r="Q40" s="211"/>
      <c r="R40" s="211"/>
      <c r="S40" s="211"/>
      <c r="T40" s="211"/>
      <c r="U40" s="211"/>
      <c r="V40" s="211"/>
      <c r="W40" s="211"/>
      <c r="X40" s="211"/>
      <c r="Y40" s="211"/>
      <c r="Z40" s="211"/>
    </row>
    <row r="41" spans="1:26" x14ac:dyDescent="0.25">
      <c r="A41" s="231"/>
      <c r="B41" s="232"/>
      <c r="C41" s="236"/>
      <c r="D41" s="232"/>
      <c r="E41" s="232"/>
      <c r="F41" s="234"/>
      <c r="G41" s="300"/>
      <c r="H41" s="300"/>
      <c r="I41" s="300"/>
      <c r="J41" s="300"/>
      <c r="K41" s="300"/>
      <c r="L41" s="201"/>
      <c r="M41" s="235"/>
      <c r="N41" s="211"/>
      <c r="O41" s="211"/>
      <c r="P41" s="211"/>
      <c r="Q41" s="211"/>
      <c r="R41" s="211"/>
      <c r="S41" s="211"/>
      <c r="T41" s="211"/>
      <c r="U41" s="211"/>
      <c r="V41" s="211"/>
      <c r="W41" s="211"/>
      <c r="X41" s="211"/>
      <c r="Y41" s="211"/>
      <c r="Z41" s="211"/>
    </row>
    <row r="42" spans="1:26" x14ac:dyDescent="0.25">
      <c r="A42" s="231"/>
      <c r="B42" s="232"/>
      <c r="C42" s="236"/>
      <c r="D42" s="232"/>
      <c r="E42" s="232"/>
      <c r="F42" s="234"/>
      <c r="G42" s="300"/>
      <c r="H42" s="300"/>
      <c r="I42" s="300"/>
      <c r="J42" s="300"/>
      <c r="K42" s="300"/>
      <c r="L42" s="201"/>
      <c r="M42" s="235"/>
      <c r="N42" s="211"/>
      <c r="O42" s="211"/>
      <c r="P42" s="211"/>
      <c r="Q42" s="211"/>
      <c r="R42" s="211"/>
      <c r="S42" s="211"/>
      <c r="T42" s="211"/>
      <c r="U42" s="211"/>
      <c r="V42" s="211"/>
      <c r="W42" s="211"/>
      <c r="X42" s="211"/>
      <c r="Y42" s="211"/>
      <c r="Z42" s="211"/>
    </row>
    <row r="43" spans="1:26" x14ac:dyDescent="0.25">
      <c r="A43" s="231"/>
      <c r="B43" s="232"/>
      <c r="C43" s="236"/>
      <c r="D43" s="232"/>
      <c r="E43" s="232"/>
      <c r="F43" s="232"/>
      <c r="G43" s="300"/>
      <c r="H43" s="300"/>
      <c r="I43" s="300"/>
      <c r="J43" s="300"/>
      <c r="K43" s="300"/>
      <c r="L43" s="201"/>
      <c r="M43" s="235"/>
      <c r="N43" s="211"/>
      <c r="O43" s="211"/>
      <c r="P43" s="211"/>
      <c r="Q43" s="211"/>
      <c r="R43" s="211"/>
      <c r="S43" s="211"/>
      <c r="T43" s="211"/>
      <c r="U43" s="211"/>
      <c r="V43" s="211"/>
      <c r="W43" s="211"/>
      <c r="X43" s="211"/>
      <c r="Y43" s="211"/>
      <c r="Z43" s="211"/>
    </row>
    <row r="44" spans="1:26" x14ac:dyDescent="0.25">
      <c r="A44" s="231"/>
      <c r="B44" s="232"/>
      <c r="C44" s="236"/>
      <c r="D44" s="232"/>
      <c r="E44" s="232"/>
      <c r="F44" s="232"/>
      <c r="G44" s="300"/>
      <c r="H44" s="300"/>
      <c r="I44" s="300"/>
      <c r="J44" s="300"/>
      <c r="K44" s="300"/>
      <c r="L44" s="201"/>
      <c r="M44" s="235"/>
      <c r="N44" s="211"/>
      <c r="O44" s="211"/>
      <c r="P44" s="211"/>
      <c r="Q44" s="211"/>
      <c r="R44" s="211"/>
      <c r="S44" s="211"/>
      <c r="T44" s="211"/>
      <c r="U44" s="211"/>
      <c r="V44" s="211"/>
      <c r="W44" s="211"/>
      <c r="X44" s="211"/>
      <c r="Y44" s="211"/>
      <c r="Z44" s="211"/>
    </row>
    <row r="45" spans="1:26" x14ac:dyDescent="0.25">
      <c r="A45" s="231"/>
      <c r="B45" s="232"/>
      <c r="C45" s="236"/>
      <c r="D45" s="232"/>
      <c r="E45" s="232"/>
      <c r="F45" s="234"/>
      <c r="G45" s="300"/>
      <c r="H45" s="300"/>
      <c r="I45" s="300"/>
      <c r="J45" s="300"/>
      <c r="K45" s="300"/>
      <c r="L45" s="201"/>
      <c r="M45" s="235"/>
      <c r="N45" s="211"/>
      <c r="O45" s="211"/>
      <c r="P45" s="211"/>
      <c r="Q45" s="211"/>
      <c r="R45" s="211"/>
      <c r="S45" s="211"/>
      <c r="T45" s="211"/>
      <c r="U45" s="211"/>
      <c r="V45" s="211"/>
      <c r="W45" s="211"/>
      <c r="X45" s="211"/>
      <c r="Y45" s="211"/>
      <c r="Z45" s="211"/>
    </row>
    <row r="46" spans="1:26" x14ac:dyDescent="0.25">
      <c r="A46" s="231"/>
      <c r="B46" s="232"/>
      <c r="C46" s="236"/>
      <c r="D46" s="232"/>
      <c r="E46" s="232"/>
      <c r="F46" s="232"/>
      <c r="G46" s="300"/>
      <c r="H46" s="300"/>
      <c r="I46" s="300"/>
      <c r="J46" s="300"/>
      <c r="K46" s="300"/>
      <c r="L46" s="201"/>
      <c r="M46" s="235"/>
      <c r="N46" s="211"/>
      <c r="O46" s="211"/>
      <c r="P46" s="211"/>
      <c r="Q46" s="211"/>
      <c r="R46" s="211"/>
      <c r="S46" s="211"/>
      <c r="T46" s="211"/>
      <c r="U46" s="211"/>
      <c r="V46" s="211"/>
      <c r="W46" s="211"/>
      <c r="X46" s="211"/>
      <c r="Y46" s="211"/>
      <c r="Z46" s="211"/>
    </row>
    <row r="47" spans="1:26" x14ac:dyDescent="0.25">
      <c r="A47" s="231"/>
      <c r="B47" s="232"/>
      <c r="C47" s="236"/>
      <c r="D47" s="232"/>
      <c r="E47" s="232"/>
      <c r="F47" s="232"/>
      <c r="G47" s="301">
        <f>COUNTA($F$40:$F$47)</f>
        <v>1</v>
      </c>
      <c r="H47" s="300"/>
      <c r="I47" s="300"/>
      <c r="J47" s="300"/>
      <c r="K47" s="300"/>
      <c r="L47" s="201"/>
      <c r="M47" s="235"/>
      <c r="N47" s="211"/>
      <c r="O47" s="211"/>
      <c r="P47" s="211"/>
      <c r="Q47" s="211"/>
      <c r="R47" s="211"/>
      <c r="S47" s="211"/>
      <c r="T47" s="211"/>
      <c r="U47" s="211"/>
      <c r="V47" s="211"/>
      <c r="W47" s="211"/>
      <c r="X47" s="211"/>
      <c r="Y47" s="211"/>
      <c r="Z47" s="211"/>
    </row>
    <row r="48" spans="1:26" x14ac:dyDescent="0.25">
      <c r="A48" s="392"/>
      <c r="B48" s="393"/>
      <c r="C48" s="393"/>
      <c r="D48" s="393"/>
      <c r="E48" s="393"/>
      <c r="F48" s="394"/>
      <c r="G48" s="301"/>
      <c r="H48" s="300"/>
      <c r="I48" s="300"/>
      <c r="J48" s="300"/>
      <c r="K48" s="300"/>
      <c r="L48" s="201"/>
      <c r="M48" s="235"/>
      <c r="N48" s="211"/>
      <c r="O48" s="211"/>
      <c r="P48" s="211"/>
      <c r="Q48" s="211"/>
      <c r="R48" s="211"/>
      <c r="S48" s="211"/>
      <c r="T48" s="211"/>
      <c r="U48" s="211"/>
      <c r="V48" s="211"/>
      <c r="W48" s="211"/>
      <c r="X48" s="211"/>
      <c r="Y48" s="211"/>
      <c r="Z48" s="211"/>
    </row>
    <row r="49" spans="1:26" x14ac:dyDescent="0.25">
      <c r="A49" s="610"/>
      <c r="B49" s="611"/>
      <c r="C49" s="611"/>
      <c r="D49" s="611"/>
      <c r="E49" s="611"/>
      <c r="F49" s="612"/>
      <c r="G49" s="301"/>
      <c r="H49" s="300"/>
      <c r="I49" s="300"/>
      <c r="J49" s="300"/>
      <c r="K49" s="300"/>
      <c r="L49" s="201"/>
      <c r="M49" s="235"/>
      <c r="N49" s="211"/>
      <c r="O49" s="211"/>
      <c r="P49" s="211"/>
      <c r="Q49" s="211"/>
      <c r="R49" s="211"/>
      <c r="S49" s="211"/>
      <c r="T49" s="211"/>
      <c r="U49" s="211"/>
      <c r="V49" s="211"/>
      <c r="W49" s="211"/>
      <c r="X49" s="211"/>
      <c r="Y49" s="211"/>
      <c r="Z49" s="211"/>
    </row>
    <row r="50" spans="1:26" s="223" customFormat="1" ht="77.25" customHeight="1" x14ac:dyDescent="0.25">
      <c r="A50" s="600" t="s">
        <v>914</v>
      </c>
      <c r="B50" s="601"/>
      <c r="C50" s="221" t="s">
        <v>236</v>
      </c>
      <c r="D50" s="296"/>
      <c r="E50" s="295"/>
      <c r="F50" s="297"/>
      <c r="G50" s="299"/>
      <c r="H50" s="299"/>
      <c r="I50" s="299"/>
      <c r="J50" s="299"/>
      <c r="K50" s="299"/>
      <c r="L50" s="201"/>
      <c r="M50" s="222"/>
      <c r="N50" s="222"/>
      <c r="O50" s="222"/>
      <c r="P50" s="222"/>
      <c r="Q50" s="222"/>
      <c r="R50" s="222"/>
      <c r="S50" s="222"/>
      <c r="T50" s="222"/>
      <c r="U50" s="222"/>
      <c r="V50" s="222"/>
      <c r="W50" s="222"/>
      <c r="X50" s="222"/>
      <c r="Y50" s="222"/>
      <c r="Z50" s="222"/>
    </row>
    <row r="51" spans="1:26" ht="49.5" customHeight="1" x14ac:dyDescent="0.25">
      <c r="A51" s="237" t="s">
        <v>906</v>
      </c>
      <c r="B51" s="238" t="s">
        <v>390</v>
      </c>
      <c r="C51" s="238" t="s">
        <v>907</v>
      </c>
      <c r="D51" s="245" t="s">
        <v>908</v>
      </c>
      <c r="E51" s="238" t="s">
        <v>909</v>
      </c>
      <c r="F51" s="238" t="s">
        <v>391</v>
      </c>
      <c r="G51" s="238" t="s">
        <v>1</v>
      </c>
      <c r="H51" s="228" t="s">
        <v>294</v>
      </c>
      <c r="I51" s="300"/>
      <c r="J51" s="300"/>
      <c r="K51" s="303"/>
      <c r="L51" s="201"/>
      <c r="M51" s="230"/>
      <c r="N51" s="229"/>
      <c r="O51" s="230"/>
      <c r="P51" s="211"/>
      <c r="Q51" s="211"/>
      <c r="R51" s="211"/>
      <c r="S51" s="211"/>
      <c r="T51" s="211"/>
      <c r="U51" s="211"/>
      <c r="V51" s="211"/>
      <c r="W51" s="211"/>
      <c r="X51" s="211"/>
      <c r="Y51" s="211"/>
      <c r="Z51" s="211"/>
    </row>
    <row r="52" spans="1:26" s="244" customFormat="1" x14ac:dyDescent="0.25">
      <c r="A52" s="240"/>
      <c r="B52" s="234"/>
      <c r="C52" s="234"/>
      <c r="D52" s="234"/>
      <c r="E52" s="241" t="s">
        <v>236</v>
      </c>
      <c r="F52" s="242" t="s">
        <v>236</v>
      </c>
      <c r="G52" s="234"/>
      <c r="H52" s="234" t="s">
        <v>208</v>
      </c>
      <c r="I52" s="300"/>
      <c r="J52" s="300"/>
      <c r="K52" s="303"/>
      <c r="L52" s="243"/>
      <c r="M52" s="235"/>
      <c r="N52" s="235"/>
      <c r="O52" s="235"/>
      <c r="P52" s="235"/>
      <c r="Q52" s="235"/>
      <c r="R52" s="235"/>
      <c r="S52" s="235"/>
      <c r="T52" s="235"/>
      <c r="U52" s="235"/>
      <c r="V52" s="235"/>
      <c r="W52" s="235"/>
      <c r="X52" s="235"/>
      <c r="Y52" s="235"/>
      <c r="Z52" s="235"/>
    </row>
    <row r="53" spans="1:26" s="244" customFormat="1" x14ac:dyDescent="0.25">
      <c r="A53" s="240"/>
      <c r="B53" s="234"/>
      <c r="C53" s="234"/>
      <c r="D53" s="234"/>
      <c r="E53" s="241" t="s">
        <v>236</v>
      </c>
      <c r="F53" s="242" t="s">
        <v>236</v>
      </c>
      <c r="G53" s="234"/>
      <c r="H53" s="234"/>
      <c r="I53" s="300"/>
      <c r="J53" s="300"/>
      <c r="K53" s="303"/>
      <c r="L53" s="243"/>
      <c r="M53" s="235"/>
      <c r="N53" s="235"/>
      <c r="O53" s="235"/>
      <c r="P53" s="235"/>
      <c r="Q53" s="235"/>
      <c r="R53" s="235"/>
      <c r="S53" s="235"/>
      <c r="T53" s="235"/>
      <c r="U53" s="235"/>
      <c r="V53" s="235"/>
      <c r="W53" s="235"/>
      <c r="X53" s="235"/>
      <c r="Y53" s="235"/>
      <c r="Z53" s="235"/>
    </row>
    <row r="54" spans="1:26" s="244" customFormat="1" x14ac:dyDescent="0.25">
      <c r="A54" s="240"/>
      <c r="B54" s="234"/>
      <c r="C54" s="234"/>
      <c r="D54" s="234"/>
      <c r="E54" s="241"/>
      <c r="F54" s="242"/>
      <c r="G54" s="234"/>
      <c r="H54" s="234"/>
      <c r="I54" s="300"/>
      <c r="J54" s="300"/>
      <c r="K54" s="303"/>
      <c r="L54" s="243"/>
      <c r="M54" s="235"/>
      <c r="N54" s="235"/>
      <c r="O54" s="235"/>
      <c r="P54" s="235"/>
      <c r="Q54" s="235"/>
      <c r="R54" s="235"/>
      <c r="S54" s="235"/>
      <c r="T54" s="235"/>
      <c r="U54" s="235"/>
      <c r="V54" s="235"/>
      <c r="W54" s="235"/>
      <c r="X54" s="235"/>
      <c r="Y54" s="235"/>
      <c r="Z54" s="235"/>
    </row>
    <row r="55" spans="1:26" s="244" customFormat="1" x14ac:dyDescent="0.25">
      <c r="A55" s="240"/>
      <c r="B55" s="234"/>
      <c r="C55" s="234"/>
      <c r="D55" s="234"/>
      <c r="E55" s="241"/>
      <c r="F55" s="242"/>
      <c r="G55" s="234"/>
      <c r="H55" s="234"/>
      <c r="I55" s="300"/>
      <c r="J55" s="300"/>
      <c r="K55" s="303"/>
      <c r="L55" s="243"/>
      <c r="M55" s="235"/>
      <c r="N55" s="235"/>
      <c r="O55" s="235"/>
      <c r="P55" s="235"/>
      <c r="Q55" s="235"/>
      <c r="R55" s="235"/>
      <c r="S55" s="235"/>
      <c r="T55" s="235"/>
      <c r="U55" s="235"/>
      <c r="V55" s="235"/>
      <c r="W55" s="235"/>
      <c r="X55" s="235"/>
      <c r="Y55" s="235"/>
      <c r="Z55" s="235"/>
    </row>
    <row r="56" spans="1:26" s="244" customFormat="1" x14ac:dyDescent="0.25">
      <c r="A56" s="240"/>
      <c r="B56" s="234"/>
      <c r="C56" s="234"/>
      <c r="D56" s="234"/>
      <c r="E56" s="241"/>
      <c r="F56" s="242"/>
      <c r="G56" s="234"/>
      <c r="H56" s="250"/>
      <c r="I56" s="300"/>
      <c r="J56" s="300"/>
      <c r="K56" s="303"/>
      <c r="L56" s="243"/>
      <c r="M56" s="235"/>
      <c r="N56" s="235"/>
      <c r="O56" s="235"/>
      <c r="P56" s="235"/>
      <c r="Q56" s="235"/>
      <c r="R56" s="235"/>
      <c r="S56" s="235"/>
      <c r="T56" s="235"/>
      <c r="U56" s="235"/>
      <c r="V56" s="235"/>
      <c r="W56" s="235"/>
      <c r="X56" s="235"/>
      <c r="Y56" s="235"/>
      <c r="Z56" s="235"/>
    </row>
    <row r="57" spans="1:26" s="244" customFormat="1" x14ac:dyDescent="0.25">
      <c r="A57" s="240"/>
      <c r="B57" s="234"/>
      <c r="C57" s="234"/>
      <c r="D57" s="234"/>
      <c r="E57" s="241"/>
      <c r="F57" s="242"/>
      <c r="G57" s="234"/>
      <c r="H57" s="250"/>
      <c r="I57" s="300"/>
      <c r="J57" s="300"/>
      <c r="K57" s="303"/>
      <c r="L57" s="243"/>
      <c r="M57" s="235"/>
      <c r="N57" s="235"/>
      <c r="O57" s="235"/>
      <c r="P57" s="235"/>
      <c r="Q57" s="235"/>
      <c r="R57" s="235"/>
      <c r="S57" s="235"/>
      <c r="T57" s="235"/>
      <c r="U57" s="235"/>
      <c r="V57" s="235"/>
      <c r="W57" s="235"/>
      <c r="X57" s="235"/>
      <c r="Y57" s="235"/>
      <c r="Z57" s="235"/>
    </row>
    <row r="58" spans="1:26" s="244" customFormat="1" x14ac:dyDescent="0.25">
      <c r="A58" s="240"/>
      <c r="B58" s="234"/>
      <c r="C58" s="234"/>
      <c r="D58" s="234"/>
      <c r="E58" s="241"/>
      <c r="F58" s="242"/>
      <c r="G58" s="234"/>
      <c r="H58" s="250"/>
      <c r="I58" s="300"/>
      <c r="J58" s="300"/>
      <c r="K58" s="303"/>
      <c r="L58" s="243"/>
      <c r="M58" s="235"/>
      <c r="N58" s="235"/>
      <c r="O58" s="235"/>
      <c r="P58" s="235"/>
      <c r="Q58" s="235"/>
      <c r="R58" s="235"/>
      <c r="S58" s="235"/>
      <c r="T58" s="235"/>
      <c r="U58" s="235"/>
      <c r="V58" s="235"/>
      <c r="W58" s="235"/>
      <c r="X58" s="235"/>
      <c r="Y58" s="235"/>
      <c r="Z58" s="235"/>
    </row>
    <row r="59" spans="1:26" s="244" customFormat="1" x14ac:dyDescent="0.25">
      <c r="A59" s="240"/>
      <c r="B59" s="234"/>
      <c r="C59" s="234"/>
      <c r="D59" s="234"/>
      <c r="E59" s="241"/>
      <c r="F59" s="242"/>
      <c r="G59" s="234"/>
      <c r="H59" s="250"/>
      <c r="I59" s="300"/>
      <c r="J59" s="300"/>
      <c r="K59" s="303"/>
      <c r="L59" s="243"/>
      <c r="M59" s="235"/>
      <c r="N59" s="235"/>
      <c r="O59" s="235"/>
      <c r="P59" s="235"/>
      <c r="Q59" s="235"/>
      <c r="R59" s="235"/>
      <c r="S59" s="235"/>
      <c r="T59" s="235"/>
      <c r="U59" s="235"/>
      <c r="V59" s="235"/>
      <c r="W59" s="235"/>
      <c r="X59" s="235"/>
      <c r="Y59" s="235"/>
      <c r="Z59" s="235"/>
    </row>
    <row r="60" spans="1:26" s="244" customFormat="1" x14ac:dyDescent="0.25">
      <c r="A60" s="240"/>
      <c r="B60" s="234"/>
      <c r="C60" s="234"/>
      <c r="D60" s="234"/>
      <c r="E60" s="241"/>
      <c r="F60" s="242"/>
      <c r="G60" s="234"/>
      <c r="H60" s="234"/>
      <c r="I60" s="300"/>
      <c r="J60" s="300"/>
      <c r="K60" s="303"/>
      <c r="L60" s="243"/>
      <c r="M60" s="235"/>
      <c r="N60" s="235"/>
      <c r="O60" s="235"/>
      <c r="P60" s="235"/>
      <c r="Q60" s="235"/>
      <c r="R60" s="235"/>
      <c r="S60" s="235"/>
      <c r="T60" s="235"/>
      <c r="U60" s="235"/>
      <c r="V60" s="235"/>
      <c r="W60" s="235"/>
      <c r="X60" s="235"/>
      <c r="Y60" s="235"/>
      <c r="Z60" s="235"/>
    </row>
    <row r="61" spans="1:26" s="244" customFormat="1" x14ac:dyDescent="0.25">
      <c r="A61" s="240"/>
      <c r="B61" s="234"/>
      <c r="C61" s="234"/>
      <c r="D61" s="234"/>
      <c r="E61" s="241"/>
      <c r="F61" s="242"/>
      <c r="G61" s="234"/>
      <c r="H61" s="234"/>
      <c r="I61" s="300"/>
      <c r="J61" s="300"/>
      <c r="K61" s="303"/>
      <c r="L61" s="243"/>
      <c r="M61" s="235"/>
      <c r="N61" s="235"/>
      <c r="O61" s="235"/>
      <c r="P61" s="235"/>
      <c r="Q61" s="235"/>
      <c r="R61" s="235"/>
      <c r="S61" s="235"/>
      <c r="T61" s="235"/>
      <c r="U61" s="235"/>
      <c r="V61" s="235"/>
      <c r="W61" s="235"/>
      <c r="X61" s="235"/>
      <c r="Y61" s="235"/>
      <c r="Z61" s="235"/>
    </row>
    <row r="62" spans="1:26" s="244" customFormat="1" x14ac:dyDescent="0.25">
      <c r="A62" s="240"/>
      <c r="B62" s="234"/>
      <c r="C62" s="234"/>
      <c r="D62" s="234"/>
      <c r="E62" s="241"/>
      <c r="F62" s="242"/>
      <c r="G62" s="234"/>
      <c r="H62" s="234"/>
      <c r="I62" s="300"/>
      <c r="J62" s="300"/>
      <c r="K62" s="303"/>
      <c r="L62" s="243"/>
      <c r="M62" s="235"/>
      <c r="N62" s="235"/>
      <c r="O62" s="235"/>
      <c r="P62" s="235"/>
      <c r="Q62" s="235"/>
      <c r="R62" s="235"/>
      <c r="S62" s="235"/>
      <c r="T62" s="235"/>
      <c r="U62" s="235"/>
      <c r="V62" s="235"/>
      <c r="W62" s="235"/>
      <c r="X62" s="235"/>
      <c r="Y62" s="235"/>
      <c r="Z62" s="235"/>
    </row>
    <row r="63" spans="1:26" s="244" customFormat="1" x14ac:dyDescent="0.25">
      <c r="A63" s="240"/>
      <c r="B63" s="234"/>
      <c r="C63" s="234"/>
      <c r="D63" s="234"/>
      <c r="E63" s="241"/>
      <c r="F63" s="242"/>
      <c r="G63" s="234"/>
      <c r="H63" s="234"/>
      <c r="I63" s="300"/>
      <c r="J63" s="300"/>
      <c r="K63" s="303"/>
      <c r="L63" s="243"/>
      <c r="M63" s="235"/>
      <c r="N63" s="235"/>
      <c r="O63" s="235"/>
      <c r="P63" s="235"/>
      <c r="Q63" s="235"/>
      <c r="R63" s="235"/>
      <c r="S63" s="235"/>
      <c r="T63" s="235"/>
      <c r="U63" s="235"/>
      <c r="V63" s="235"/>
      <c r="W63" s="235"/>
      <c r="X63" s="235"/>
      <c r="Y63" s="235"/>
      <c r="Z63" s="235"/>
    </row>
    <row r="64" spans="1:26" s="244" customFormat="1" x14ac:dyDescent="0.25">
      <c r="A64" s="240"/>
      <c r="B64" s="234"/>
      <c r="C64" s="234"/>
      <c r="D64" s="234"/>
      <c r="E64" s="241"/>
      <c r="F64" s="242"/>
      <c r="G64" s="234"/>
      <c r="H64" s="234"/>
      <c r="I64" s="300"/>
      <c r="J64" s="300"/>
      <c r="K64" s="303"/>
      <c r="L64" s="243"/>
      <c r="M64" s="235"/>
      <c r="N64" s="235"/>
      <c r="O64" s="235"/>
      <c r="P64" s="235"/>
      <c r="Q64" s="235"/>
      <c r="R64" s="235"/>
      <c r="S64" s="235"/>
      <c r="T64" s="235"/>
      <c r="U64" s="235"/>
      <c r="V64" s="235"/>
      <c r="W64" s="235"/>
      <c r="X64" s="235"/>
      <c r="Y64" s="235"/>
      <c r="Z64" s="235"/>
    </row>
    <row r="65" spans="1:26" s="244" customFormat="1" x14ac:dyDescent="0.25">
      <c r="A65" s="240"/>
      <c r="B65" s="234"/>
      <c r="C65" s="234"/>
      <c r="D65" s="234"/>
      <c r="E65" s="241"/>
      <c r="F65" s="242"/>
      <c r="G65" s="234"/>
      <c r="H65" s="234"/>
      <c r="I65" s="300"/>
      <c r="J65" s="300"/>
      <c r="K65" s="303"/>
      <c r="L65" s="243"/>
      <c r="M65" s="235"/>
      <c r="N65" s="235"/>
      <c r="O65" s="235"/>
      <c r="P65" s="235"/>
      <c r="Q65" s="235"/>
      <c r="R65" s="235"/>
      <c r="S65" s="235"/>
      <c r="T65" s="235"/>
      <c r="U65" s="235"/>
      <c r="V65" s="235"/>
      <c r="W65" s="235"/>
      <c r="X65" s="235"/>
      <c r="Y65" s="235"/>
      <c r="Z65" s="235"/>
    </row>
    <row r="66" spans="1:26" s="244" customFormat="1" x14ac:dyDescent="0.25">
      <c r="A66" s="240"/>
      <c r="B66" s="234"/>
      <c r="C66" s="234"/>
      <c r="D66" s="234"/>
      <c r="E66" s="241"/>
      <c r="F66" s="242"/>
      <c r="G66" s="234"/>
      <c r="H66" s="234"/>
      <c r="I66" s="300"/>
      <c r="J66" s="300"/>
      <c r="K66" s="303"/>
      <c r="L66" s="243"/>
      <c r="M66" s="235"/>
      <c r="N66" s="235"/>
      <c r="O66" s="235"/>
      <c r="P66" s="235"/>
      <c r="Q66" s="235"/>
      <c r="R66" s="235"/>
      <c r="S66" s="235"/>
      <c r="T66" s="235"/>
      <c r="U66" s="235"/>
      <c r="V66" s="235"/>
      <c r="W66" s="235"/>
      <c r="X66" s="235"/>
      <c r="Y66" s="235"/>
      <c r="Z66" s="235"/>
    </row>
    <row r="67" spans="1:26" s="244" customFormat="1" x14ac:dyDescent="0.25">
      <c r="A67" s="240"/>
      <c r="B67" s="234"/>
      <c r="C67" s="234"/>
      <c r="D67" s="234"/>
      <c r="E67" s="241"/>
      <c r="F67" s="242"/>
      <c r="G67" s="234"/>
      <c r="H67" s="234"/>
      <c r="I67" s="300"/>
      <c r="J67" s="300"/>
      <c r="K67" s="303"/>
      <c r="L67" s="243"/>
      <c r="M67" s="235"/>
      <c r="N67" s="235"/>
      <c r="O67" s="235"/>
      <c r="P67" s="235"/>
      <c r="Q67" s="235"/>
      <c r="R67" s="235"/>
      <c r="S67" s="235"/>
      <c r="T67" s="235"/>
      <c r="U67" s="235"/>
      <c r="V67" s="235"/>
      <c r="W67" s="235"/>
      <c r="X67" s="235"/>
      <c r="Y67" s="235"/>
      <c r="Z67" s="235"/>
    </row>
    <row r="68" spans="1:26" s="244" customFormat="1" x14ac:dyDescent="0.25">
      <c r="A68" s="240"/>
      <c r="B68" s="234"/>
      <c r="C68" s="234"/>
      <c r="D68" s="234"/>
      <c r="E68" s="241"/>
      <c r="F68" s="242"/>
      <c r="G68" s="234"/>
      <c r="H68" s="234"/>
      <c r="I68" s="300"/>
      <c r="J68" s="300"/>
      <c r="K68" s="303"/>
      <c r="L68" s="243"/>
      <c r="M68" s="235"/>
      <c r="N68" s="235"/>
      <c r="O68" s="235"/>
      <c r="P68" s="235"/>
      <c r="Q68" s="235"/>
      <c r="R68" s="235"/>
      <c r="S68" s="235"/>
      <c r="T68" s="235"/>
      <c r="U68" s="235"/>
      <c r="V68" s="235"/>
      <c r="W68" s="235"/>
      <c r="X68" s="235"/>
      <c r="Y68" s="235"/>
      <c r="Z68" s="235"/>
    </row>
    <row r="69" spans="1:26" s="244" customFormat="1" x14ac:dyDescent="0.25">
      <c r="A69" s="240"/>
      <c r="B69" s="234"/>
      <c r="C69" s="234"/>
      <c r="D69" s="234"/>
      <c r="E69" s="241"/>
      <c r="F69" s="242"/>
      <c r="G69" s="234"/>
      <c r="H69" s="234"/>
      <c r="I69" s="301">
        <f>COUNTA(H52:H69)</f>
        <v>1</v>
      </c>
      <c r="J69" s="300"/>
      <c r="K69" s="303"/>
      <c r="L69" s="243"/>
      <c r="M69" s="235"/>
      <c r="N69" s="235"/>
      <c r="O69" s="235"/>
      <c r="P69" s="235"/>
      <c r="Q69" s="235"/>
      <c r="R69" s="235"/>
      <c r="S69" s="235"/>
      <c r="T69" s="235"/>
      <c r="U69" s="235"/>
      <c r="V69" s="235"/>
      <c r="W69" s="235"/>
      <c r="X69" s="235"/>
      <c r="Y69" s="235"/>
      <c r="Z69" s="235"/>
    </row>
    <row r="70" spans="1:26" s="244" customFormat="1" x14ac:dyDescent="0.25">
      <c r="A70" s="613"/>
      <c r="B70" s="614"/>
      <c r="C70" s="614"/>
      <c r="D70" s="614"/>
      <c r="E70" s="614"/>
      <c r="F70" s="614"/>
      <c r="G70" s="614"/>
      <c r="H70" s="614"/>
      <c r="I70" s="301"/>
      <c r="J70" s="300"/>
      <c r="K70" s="303"/>
      <c r="L70" s="243"/>
      <c r="M70" s="235"/>
      <c r="N70" s="235"/>
      <c r="O70" s="235"/>
      <c r="P70" s="235"/>
      <c r="Q70" s="235"/>
      <c r="R70" s="235"/>
      <c r="S70" s="235"/>
      <c r="T70" s="235"/>
      <c r="U70" s="235"/>
      <c r="V70" s="235"/>
      <c r="W70" s="235"/>
      <c r="X70" s="235"/>
      <c r="Y70" s="235"/>
      <c r="Z70" s="235"/>
    </row>
    <row r="71" spans="1:26" ht="107.25" customHeight="1" x14ac:dyDescent="0.25">
      <c r="A71" s="600" t="s">
        <v>913</v>
      </c>
      <c r="B71" s="601"/>
      <c r="C71" s="221" t="s">
        <v>236</v>
      </c>
      <c r="D71" s="295"/>
      <c r="E71" s="295"/>
      <c r="F71" s="295"/>
      <c r="G71" s="295"/>
      <c r="H71" s="295"/>
      <c r="I71" s="295"/>
      <c r="J71" s="295"/>
      <c r="K71" s="298"/>
      <c r="L71" s="201"/>
      <c r="M71" s="211"/>
      <c r="N71" s="211"/>
      <c r="O71" s="211"/>
      <c r="P71" s="211"/>
      <c r="Q71" s="211"/>
      <c r="R71" s="211"/>
      <c r="S71" s="211"/>
      <c r="T71" s="211"/>
      <c r="U71" s="211"/>
      <c r="V71" s="211"/>
      <c r="W71" s="211"/>
      <c r="X71" s="211"/>
      <c r="Y71" s="211"/>
      <c r="Z71" s="211"/>
    </row>
    <row r="72" spans="1:26" ht="66.75" customHeight="1" x14ac:dyDescent="0.25">
      <c r="A72" s="237" t="s">
        <v>906</v>
      </c>
      <c r="B72" s="238" t="s">
        <v>80</v>
      </c>
      <c r="C72" s="245" t="s">
        <v>274</v>
      </c>
      <c r="D72" s="238" t="s">
        <v>241</v>
      </c>
      <c r="E72" s="238" t="s">
        <v>242</v>
      </c>
      <c r="F72" s="238" t="s">
        <v>229</v>
      </c>
      <c r="G72" s="245" t="s">
        <v>215</v>
      </c>
      <c r="H72" s="245" t="s">
        <v>910</v>
      </c>
      <c r="I72" s="238" t="s">
        <v>911</v>
      </c>
      <c r="J72" s="246" t="s">
        <v>1</v>
      </c>
      <c r="K72" s="247" t="s">
        <v>294</v>
      </c>
      <c r="L72" s="201"/>
      <c r="M72" s="211"/>
      <c r="N72" s="211"/>
      <c r="O72" s="211"/>
      <c r="P72" s="211"/>
      <c r="Q72" s="211"/>
      <c r="R72" s="211"/>
      <c r="S72" s="211"/>
      <c r="T72" s="211"/>
      <c r="U72" s="211"/>
      <c r="V72" s="211"/>
      <c r="W72" s="211"/>
      <c r="X72" s="211"/>
      <c r="Y72" s="211"/>
      <c r="Z72" s="211"/>
    </row>
    <row r="73" spans="1:26" s="244" customFormat="1" x14ac:dyDescent="0.25">
      <c r="A73" s="248"/>
      <c r="B73" s="249"/>
      <c r="C73" s="234"/>
      <c r="D73" s="249"/>
      <c r="E73" s="241"/>
      <c r="F73" s="234"/>
      <c r="G73" s="234" t="s">
        <v>236</v>
      </c>
      <c r="H73" s="241" t="s">
        <v>236</v>
      </c>
      <c r="I73" s="241" t="s">
        <v>236</v>
      </c>
      <c r="J73" s="241"/>
      <c r="K73" s="234" t="s">
        <v>208</v>
      </c>
      <c r="L73" s="243"/>
      <c r="M73" s="235"/>
      <c r="N73" s="235"/>
      <c r="O73" s="235"/>
      <c r="P73" s="235"/>
      <c r="Q73" s="235"/>
      <c r="R73" s="235"/>
      <c r="S73" s="235"/>
      <c r="T73" s="235"/>
      <c r="U73" s="235"/>
      <c r="V73" s="235"/>
      <c r="W73" s="235"/>
      <c r="X73" s="235"/>
      <c r="Y73" s="235"/>
      <c r="Z73" s="235"/>
    </row>
    <row r="74" spans="1:26" s="244" customFormat="1" x14ac:dyDescent="0.25">
      <c r="A74" s="248"/>
      <c r="B74" s="249"/>
      <c r="C74" s="234"/>
      <c r="D74" s="249"/>
      <c r="E74" s="241"/>
      <c r="F74" s="234"/>
      <c r="G74" s="234"/>
      <c r="H74" s="241"/>
      <c r="I74" s="241"/>
      <c r="J74" s="241"/>
      <c r="K74" s="234"/>
      <c r="L74" s="243"/>
      <c r="M74" s="235"/>
      <c r="N74" s="235"/>
      <c r="O74" s="235"/>
      <c r="P74" s="235"/>
      <c r="Q74" s="235"/>
      <c r="R74" s="235"/>
      <c r="S74" s="235"/>
      <c r="T74" s="235"/>
      <c r="U74" s="235"/>
      <c r="V74" s="235"/>
      <c r="W74" s="235"/>
      <c r="X74" s="235"/>
      <c r="Y74" s="235"/>
      <c r="Z74" s="235"/>
    </row>
    <row r="75" spans="1:26" s="244" customFormat="1" x14ac:dyDescent="0.25">
      <c r="A75" s="240"/>
      <c r="B75" s="251"/>
      <c r="C75" s="234"/>
      <c r="D75" s="249"/>
      <c r="E75" s="241"/>
      <c r="F75" s="234"/>
      <c r="G75" s="234"/>
      <c r="H75" s="241"/>
      <c r="I75" s="241"/>
      <c r="J75" s="241"/>
      <c r="K75" s="234"/>
      <c r="L75" s="243"/>
      <c r="M75" s="235"/>
      <c r="N75" s="235"/>
      <c r="O75" s="235"/>
      <c r="P75" s="235"/>
      <c r="Q75" s="235"/>
      <c r="R75" s="235"/>
      <c r="S75" s="235"/>
      <c r="T75" s="235"/>
      <c r="U75" s="235"/>
      <c r="V75" s="235"/>
      <c r="W75" s="235"/>
      <c r="X75" s="235"/>
      <c r="Y75" s="235"/>
      <c r="Z75" s="235"/>
    </row>
    <row r="76" spans="1:26" s="244" customFormat="1" x14ac:dyDescent="0.25">
      <c r="A76" s="240"/>
      <c r="B76" s="251"/>
      <c r="C76" s="234"/>
      <c r="D76" s="249"/>
      <c r="E76" s="241"/>
      <c r="F76" s="234"/>
      <c r="G76" s="234"/>
      <c r="H76" s="241"/>
      <c r="I76" s="241"/>
      <c r="J76" s="241"/>
      <c r="K76" s="234"/>
      <c r="L76" s="243"/>
      <c r="M76" s="235"/>
      <c r="N76" s="235"/>
      <c r="O76" s="235"/>
      <c r="P76" s="235"/>
      <c r="Q76" s="235"/>
      <c r="R76" s="235"/>
      <c r="S76" s="235"/>
      <c r="T76" s="235"/>
      <c r="U76" s="235"/>
      <c r="V76" s="235"/>
      <c r="W76" s="235"/>
      <c r="X76" s="235"/>
      <c r="Y76" s="235"/>
      <c r="Z76" s="235"/>
    </row>
    <row r="77" spans="1:26" s="244" customFormat="1" x14ac:dyDescent="0.25">
      <c r="A77" s="240"/>
      <c r="B77" s="251"/>
      <c r="C77" s="234"/>
      <c r="D77" s="249"/>
      <c r="E77" s="241"/>
      <c r="F77" s="234"/>
      <c r="G77" s="234"/>
      <c r="H77" s="241"/>
      <c r="I77" s="241"/>
      <c r="J77" s="241"/>
      <c r="K77" s="234"/>
      <c r="L77" s="243"/>
      <c r="M77" s="235"/>
      <c r="N77" s="235"/>
      <c r="O77" s="235"/>
      <c r="P77" s="235"/>
      <c r="Q77" s="235"/>
      <c r="R77" s="235"/>
      <c r="S77" s="235"/>
      <c r="T77" s="235"/>
      <c r="U77" s="235"/>
      <c r="V77" s="235"/>
      <c r="W77" s="235"/>
      <c r="X77" s="235"/>
      <c r="Y77" s="235"/>
      <c r="Z77" s="235"/>
    </row>
    <row r="78" spans="1:26" s="244" customFormat="1" x14ac:dyDescent="0.25">
      <c r="A78" s="240"/>
      <c r="B78" s="251"/>
      <c r="C78" s="234"/>
      <c r="D78" s="249"/>
      <c r="E78" s="241"/>
      <c r="F78" s="234"/>
      <c r="G78" s="234"/>
      <c r="H78" s="241"/>
      <c r="I78" s="241"/>
      <c r="J78" s="241"/>
      <c r="K78" s="250"/>
      <c r="L78" s="243"/>
      <c r="M78" s="235"/>
      <c r="N78" s="235"/>
      <c r="O78" s="235"/>
      <c r="P78" s="235"/>
      <c r="Q78" s="235"/>
      <c r="R78" s="235"/>
      <c r="S78" s="235"/>
      <c r="T78" s="235"/>
      <c r="U78" s="235"/>
      <c r="V78" s="235"/>
      <c r="W78" s="235"/>
      <c r="X78" s="235"/>
      <c r="Y78" s="235"/>
      <c r="Z78" s="235"/>
    </row>
    <row r="79" spans="1:26" s="244" customFormat="1" x14ac:dyDescent="0.25">
      <c r="A79" s="240"/>
      <c r="B79" s="251"/>
      <c r="C79" s="234"/>
      <c r="D79" s="249"/>
      <c r="E79" s="241"/>
      <c r="F79" s="234"/>
      <c r="G79" s="234"/>
      <c r="H79" s="241"/>
      <c r="I79" s="241"/>
      <c r="J79" s="241"/>
      <c r="K79" s="250"/>
      <c r="L79" s="243"/>
      <c r="M79" s="235"/>
      <c r="N79" s="235"/>
      <c r="O79" s="235"/>
      <c r="P79" s="235"/>
      <c r="Q79" s="235"/>
      <c r="R79" s="235"/>
      <c r="S79" s="235"/>
      <c r="T79" s="235"/>
      <c r="U79" s="235"/>
      <c r="V79" s="235"/>
      <c r="W79" s="235"/>
      <c r="X79" s="235"/>
      <c r="Y79" s="235"/>
      <c r="Z79" s="235"/>
    </row>
    <row r="80" spans="1:26" s="244" customFormat="1" x14ac:dyDescent="0.25">
      <c r="A80" s="240"/>
      <c r="B80" s="251"/>
      <c r="C80" s="234"/>
      <c r="D80" s="249"/>
      <c r="E80" s="241"/>
      <c r="F80" s="234"/>
      <c r="G80" s="234"/>
      <c r="H80" s="241"/>
      <c r="I80" s="241"/>
      <c r="J80" s="241"/>
      <c r="K80" s="250"/>
      <c r="L80" s="243"/>
      <c r="M80" s="235"/>
      <c r="N80" s="235"/>
      <c r="O80" s="235"/>
      <c r="P80" s="235"/>
      <c r="Q80" s="235"/>
      <c r="R80" s="235"/>
      <c r="S80" s="235"/>
      <c r="T80" s="235"/>
      <c r="U80" s="235"/>
      <c r="V80" s="235"/>
      <c r="W80" s="235"/>
      <c r="X80" s="235"/>
      <c r="Y80" s="235"/>
      <c r="Z80" s="235"/>
    </row>
    <row r="81" spans="1:26" s="244" customFormat="1" x14ac:dyDescent="0.25">
      <c r="A81" s="240"/>
      <c r="B81" s="251"/>
      <c r="C81" s="234"/>
      <c r="D81" s="249"/>
      <c r="E81" s="241"/>
      <c r="F81" s="234"/>
      <c r="G81" s="234"/>
      <c r="H81" s="241"/>
      <c r="I81" s="241"/>
      <c r="J81" s="241"/>
      <c r="K81" s="250"/>
      <c r="L81" s="243"/>
      <c r="M81" s="235"/>
      <c r="N81" s="235"/>
      <c r="O81" s="235"/>
      <c r="P81" s="235"/>
      <c r="Q81" s="235"/>
      <c r="R81" s="235"/>
      <c r="S81" s="235"/>
      <c r="T81" s="235"/>
      <c r="U81" s="235"/>
      <c r="V81" s="235"/>
      <c r="W81" s="235"/>
      <c r="X81" s="235"/>
      <c r="Y81" s="235"/>
      <c r="Z81" s="235"/>
    </row>
    <row r="82" spans="1:26" s="244" customFormat="1" x14ac:dyDescent="0.25">
      <c r="A82" s="240"/>
      <c r="B82" s="251"/>
      <c r="C82" s="234"/>
      <c r="D82" s="249"/>
      <c r="E82" s="241"/>
      <c r="F82" s="234"/>
      <c r="G82" s="234"/>
      <c r="H82" s="241"/>
      <c r="I82" s="241"/>
      <c r="J82" s="241"/>
      <c r="K82" s="250"/>
      <c r="L82" s="243"/>
      <c r="M82" s="235"/>
      <c r="N82" s="235"/>
      <c r="O82" s="235"/>
      <c r="P82" s="235"/>
      <c r="Q82" s="235"/>
      <c r="R82" s="235"/>
      <c r="S82" s="235"/>
      <c r="T82" s="235"/>
      <c r="U82" s="235"/>
      <c r="V82" s="235"/>
      <c r="W82" s="235"/>
      <c r="X82" s="235"/>
      <c r="Y82" s="235"/>
      <c r="Z82" s="235"/>
    </row>
    <row r="83" spans="1:26" s="244" customFormat="1" x14ac:dyDescent="0.25">
      <c r="A83" s="240"/>
      <c r="B83" s="251"/>
      <c r="C83" s="234"/>
      <c r="D83" s="249"/>
      <c r="E83" s="241"/>
      <c r="F83" s="234"/>
      <c r="G83" s="234"/>
      <c r="H83" s="241"/>
      <c r="I83" s="241"/>
      <c r="J83" s="241"/>
      <c r="K83" s="250"/>
      <c r="L83" s="243"/>
      <c r="M83" s="235"/>
      <c r="N83" s="235"/>
      <c r="O83" s="235"/>
      <c r="P83" s="235"/>
      <c r="Q83" s="235"/>
      <c r="R83" s="235"/>
      <c r="S83" s="235"/>
      <c r="T83" s="235"/>
      <c r="U83" s="235"/>
      <c r="V83" s="235"/>
      <c r="W83" s="235"/>
      <c r="X83" s="235"/>
      <c r="Y83" s="235"/>
      <c r="Z83" s="235"/>
    </row>
    <row r="84" spans="1:26" s="244" customFormat="1" x14ac:dyDescent="0.25">
      <c r="A84" s="240"/>
      <c r="B84" s="251"/>
      <c r="C84" s="234"/>
      <c r="D84" s="249"/>
      <c r="E84" s="241"/>
      <c r="F84" s="234"/>
      <c r="G84" s="234"/>
      <c r="H84" s="241"/>
      <c r="I84" s="241"/>
      <c r="J84" s="241"/>
      <c r="K84" s="250"/>
      <c r="L84" s="243"/>
      <c r="M84" s="235"/>
      <c r="N84" s="235"/>
      <c r="O84" s="235"/>
      <c r="P84" s="235"/>
      <c r="Q84" s="235"/>
      <c r="R84" s="235"/>
      <c r="S84" s="235"/>
      <c r="T84" s="235"/>
      <c r="U84" s="235"/>
      <c r="V84" s="235"/>
      <c r="W84" s="235"/>
      <c r="X84" s="235"/>
      <c r="Y84" s="235"/>
      <c r="Z84" s="235"/>
    </row>
    <row r="85" spans="1:26" s="244" customFormat="1" x14ac:dyDescent="0.25">
      <c r="A85" s="240"/>
      <c r="B85" s="251"/>
      <c r="C85" s="234"/>
      <c r="D85" s="249"/>
      <c r="E85" s="241"/>
      <c r="F85" s="234"/>
      <c r="G85" s="234"/>
      <c r="H85" s="241"/>
      <c r="I85" s="241"/>
      <c r="J85" s="241"/>
      <c r="K85" s="250"/>
      <c r="L85" s="243"/>
      <c r="M85" s="235"/>
      <c r="N85" s="235"/>
      <c r="O85" s="235"/>
      <c r="P85" s="235"/>
      <c r="Q85" s="235"/>
      <c r="R85" s="235"/>
      <c r="S85" s="235"/>
      <c r="T85" s="235"/>
      <c r="U85" s="235"/>
      <c r="V85" s="235"/>
      <c r="W85" s="235"/>
      <c r="X85" s="235"/>
      <c r="Y85" s="235"/>
      <c r="Z85" s="235"/>
    </row>
    <row r="86" spans="1:26" s="244" customFormat="1" x14ac:dyDescent="0.25">
      <c r="A86" s="240"/>
      <c r="B86" s="251"/>
      <c r="C86" s="234"/>
      <c r="D86" s="249"/>
      <c r="E86" s="241"/>
      <c r="F86" s="234"/>
      <c r="G86" s="234"/>
      <c r="H86" s="241"/>
      <c r="I86" s="241"/>
      <c r="J86" s="241"/>
      <c r="K86" s="250"/>
      <c r="L86" s="243"/>
      <c r="M86" s="235"/>
      <c r="N86" s="235"/>
      <c r="O86" s="235"/>
      <c r="P86" s="235"/>
      <c r="Q86" s="235"/>
      <c r="R86" s="235"/>
      <c r="S86" s="235"/>
      <c r="T86" s="235"/>
      <c r="U86" s="235"/>
      <c r="V86" s="235"/>
      <c r="W86" s="235"/>
      <c r="X86" s="235"/>
      <c r="Y86" s="235"/>
      <c r="Z86" s="235"/>
    </row>
    <row r="87" spans="1:26" s="244" customFormat="1" x14ac:dyDescent="0.25">
      <c r="A87" s="240"/>
      <c r="B87" s="251"/>
      <c r="C87" s="234"/>
      <c r="D87" s="249"/>
      <c r="E87" s="241"/>
      <c r="F87" s="234"/>
      <c r="G87" s="234"/>
      <c r="H87" s="241"/>
      <c r="I87" s="241"/>
      <c r="J87" s="241"/>
      <c r="K87" s="250"/>
      <c r="L87" s="243"/>
      <c r="M87" s="235"/>
      <c r="N87" s="235"/>
      <c r="O87" s="235"/>
      <c r="P87" s="235"/>
      <c r="Q87" s="235"/>
      <c r="R87" s="235"/>
      <c r="S87" s="235"/>
      <c r="T87" s="235"/>
      <c r="U87" s="235"/>
      <c r="V87" s="235"/>
      <c r="W87" s="235"/>
      <c r="X87" s="235"/>
      <c r="Y87" s="235"/>
      <c r="Z87" s="235"/>
    </row>
    <row r="88" spans="1:26" s="244" customFormat="1" x14ac:dyDescent="0.25">
      <c r="A88" s="240"/>
      <c r="B88" s="251"/>
      <c r="C88" s="234"/>
      <c r="D88" s="249"/>
      <c r="E88" s="241"/>
      <c r="F88" s="234"/>
      <c r="G88" s="234"/>
      <c r="H88" s="241"/>
      <c r="I88" s="241"/>
      <c r="J88" s="241"/>
      <c r="K88" s="250"/>
      <c r="L88" s="243"/>
      <c r="M88" s="235"/>
      <c r="N88" s="235"/>
      <c r="O88" s="235"/>
      <c r="P88" s="235"/>
      <c r="Q88" s="235"/>
      <c r="R88" s="235"/>
      <c r="S88" s="235"/>
      <c r="T88" s="235"/>
      <c r="U88" s="235"/>
      <c r="V88" s="235"/>
      <c r="W88" s="235"/>
      <c r="X88" s="235"/>
      <c r="Y88" s="235"/>
      <c r="Z88" s="235"/>
    </row>
    <row r="89" spans="1:26" s="244" customFormat="1" x14ac:dyDescent="0.25">
      <c r="A89" s="240"/>
      <c r="B89" s="251"/>
      <c r="C89" s="234"/>
      <c r="D89" s="249"/>
      <c r="E89" s="241"/>
      <c r="F89" s="234"/>
      <c r="G89" s="234"/>
      <c r="H89" s="241"/>
      <c r="I89" s="241"/>
      <c r="J89" s="241"/>
      <c r="K89" s="250"/>
      <c r="L89" s="243"/>
      <c r="M89" s="235"/>
      <c r="N89" s="235"/>
      <c r="O89" s="235"/>
      <c r="P89" s="235"/>
      <c r="Q89" s="235"/>
      <c r="R89" s="235"/>
      <c r="S89" s="235"/>
      <c r="T89" s="235"/>
      <c r="U89" s="235"/>
      <c r="V89" s="235"/>
      <c r="W89" s="235"/>
      <c r="X89" s="235"/>
      <c r="Y89" s="235"/>
      <c r="Z89" s="235"/>
    </row>
    <row r="90" spans="1:26" s="244" customFormat="1" x14ac:dyDescent="0.25">
      <c r="A90" s="240"/>
      <c r="B90" s="251"/>
      <c r="C90" s="234"/>
      <c r="D90" s="249"/>
      <c r="E90" s="241"/>
      <c r="F90" s="234"/>
      <c r="G90" s="234"/>
      <c r="H90" s="241"/>
      <c r="I90" s="241"/>
      <c r="J90" s="241"/>
      <c r="K90" s="250"/>
      <c r="L90" s="252">
        <f>COUNTA($K$73:$K$90)</f>
        <v>1</v>
      </c>
      <c r="M90" s="235"/>
      <c r="N90" s="235"/>
      <c r="O90" s="235"/>
      <c r="P90" s="235"/>
      <c r="Q90" s="235"/>
      <c r="R90" s="235"/>
      <c r="S90" s="235"/>
      <c r="T90" s="235"/>
      <c r="U90" s="235"/>
      <c r="V90" s="235"/>
      <c r="W90" s="235"/>
      <c r="X90" s="235"/>
      <c r="Y90" s="235"/>
      <c r="Z90" s="235"/>
    </row>
    <row r="91" spans="1:26" s="244" customFormat="1" x14ac:dyDescent="0.25">
      <c r="A91" s="378"/>
      <c r="B91" s="382"/>
      <c r="C91" s="380"/>
      <c r="D91" s="383"/>
      <c r="E91" s="381"/>
      <c r="F91" s="379"/>
      <c r="G91" s="379"/>
      <c r="H91" s="381"/>
      <c r="I91" s="381"/>
      <c r="J91" s="381"/>
      <c r="K91" s="384"/>
      <c r="L91" s="252"/>
      <c r="M91" s="235"/>
      <c r="N91" s="235"/>
      <c r="O91" s="235"/>
      <c r="P91" s="235"/>
      <c r="Q91" s="235"/>
      <c r="R91" s="235"/>
      <c r="S91" s="235"/>
      <c r="T91" s="235"/>
      <c r="U91" s="235"/>
      <c r="V91" s="235"/>
      <c r="W91" s="235"/>
      <c r="X91" s="235"/>
      <c r="Y91" s="235"/>
      <c r="Z91" s="235"/>
    </row>
    <row r="92" spans="1:26" s="244" customFormat="1" x14ac:dyDescent="0.25">
      <c r="A92" s="385"/>
      <c r="B92" s="386"/>
      <c r="C92" s="387"/>
      <c r="D92" s="388"/>
      <c r="E92" s="389"/>
      <c r="F92" s="389"/>
      <c r="G92" s="389"/>
      <c r="H92" s="389"/>
      <c r="I92" s="389"/>
      <c r="J92" s="389"/>
      <c r="K92" s="390"/>
      <c r="L92" s="252"/>
      <c r="M92" s="235"/>
      <c r="N92" s="235"/>
      <c r="O92" s="235"/>
      <c r="P92" s="235"/>
      <c r="Q92" s="235"/>
      <c r="R92" s="235"/>
      <c r="S92" s="235"/>
      <c r="T92" s="235"/>
      <c r="U92" s="235"/>
      <c r="V92" s="235"/>
      <c r="W92" s="235"/>
      <c r="X92" s="235"/>
      <c r="Y92" s="235"/>
      <c r="Z92" s="235"/>
    </row>
    <row r="93" spans="1:26" ht="63" customHeight="1" x14ac:dyDescent="0.25">
      <c r="A93" s="600" t="s">
        <v>912</v>
      </c>
      <c r="B93" s="602"/>
      <c r="C93" s="221" t="s">
        <v>236</v>
      </c>
      <c r="D93" s="295"/>
      <c r="E93" s="295"/>
      <c r="F93" s="295"/>
      <c r="G93" s="295"/>
      <c r="H93" s="295"/>
      <c r="I93" s="295"/>
      <c r="J93" s="295"/>
      <c r="K93" s="298"/>
      <c r="L93" s="201"/>
      <c r="M93" s="211"/>
      <c r="N93" s="211"/>
      <c r="O93" s="211"/>
      <c r="P93" s="211"/>
      <c r="Q93" s="211"/>
      <c r="R93" s="211"/>
      <c r="S93" s="211"/>
      <c r="T93" s="211"/>
      <c r="U93" s="211"/>
      <c r="V93" s="211"/>
      <c r="W93" s="211"/>
      <c r="X93" s="211"/>
      <c r="Y93" s="211"/>
      <c r="Z93" s="211"/>
    </row>
    <row r="94" spans="1:26" ht="63.75" customHeight="1" x14ac:dyDescent="0.25">
      <c r="A94" s="253" t="s">
        <v>918</v>
      </c>
      <c r="B94" s="238" t="s">
        <v>80</v>
      </c>
      <c r="C94" s="245" t="s">
        <v>275</v>
      </c>
      <c r="D94" s="238" t="s">
        <v>241</v>
      </c>
      <c r="E94" s="238" t="s">
        <v>242</v>
      </c>
      <c r="F94" s="245" t="s">
        <v>288</v>
      </c>
      <c r="G94" s="245" t="s">
        <v>919</v>
      </c>
      <c r="H94" s="245" t="s">
        <v>920</v>
      </c>
      <c r="I94" s="245" t="s">
        <v>921</v>
      </c>
      <c r="J94" s="238" t="s">
        <v>1</v>
      </c>
      <c r="K94" s="247" t="s">
        <v>294</v>
      </c>
      <c r="L94" s="201"/>
      <c r="M94" s="211"/>
      <c r="N94" s="211"/>
      <c r="O94" s="211"/>
      <c r="P94" s="211"/>
      <c r="Q94" s="211"/>
      <c r="R94" s="211"/>
      <c r="S94" s="211"/>
      <c r="T94" s="211"/>
      <c r="U94" s="211"/>
      <c r="V94" s="211"/>
      <c r="W94" s="211"/>
      <c r="X94" s="211"/>
      <c r="Y94" s="211"/>
      <c r="Z94" s="211"/>
    </row>
    <row r="95" spans="1:26" s="244" customFormat="1" ht="30.75" customHeight="1" x14ac:dyDescent="0.25">
      <c r="A95" s="248"/>
      <c r="B95" s="241"/>
      <c r="C95" s="234"/>
      <c r="D95" s="249"/>
      <c r="E95" s="241"/>
      <c r="F95" s="241"/>
      <c r="G95" s="241" t="s">
        <v>236</v>
      </c>
      <c r="H95" s="241" t="s">
        <v>236</v>
      </c>
      <c r="I95" s="241" t="s">
        <v>236</v>
      </c>
      <c r="J95" s="241"/>
      <c r="K95" s="234" t="s">
        <v>208</v>
      </c>
      <c r="L95" s="243"/>
      <c r="M95" s="235"/>
      <c r="N95" s="235"/>
      <c r="O95" s="235"/>
      <c r="P95" s="235"/>
      <c r="Q95" s="235"/>
      <c r="R95" s="235"/>
      <c r="S95" s="235"/>
      <c r="T95" s="235"/>
      <c r="U95" s="235"/>
      <c r="V95" s="235"/>
      <c r="W95" s="235"/>
      <c r="X95" s="235"/>
      <c r="Y95" s="235"/>
      <c r="Z95" s="235"/>
    </row>
    <row r="96" spans="1:26" s="244" customFormat="1" x14ac:dyDescent="0.25">
      <c r="A96" s="248"/>
      <c r="B96" s="241"/>
      <c r="C96" s="234"/>
      <c r="D96" s="249"/>
      <c r="E96" s="241"/>
      <c r="F96" s="241"/>
      <c r="G96" s="241"/>
      <c r="H96" s="241"/>
      <c r="I96" s="241"/>
      <c r="J96" s="241"/>
      <c r="K96" s="234"/>
      <c r="L96" s="243"/>
      <c r="M96" s="235"/>
      <c r="N96" s="235"/>
      <c r="O96" s="235"/>
      <c r="P96" s="235"/>
      <c r="Q96" s="235"/>
      <c r="R96" s="235"/>
      <c r="S96" s="235"/>
      <c r="T96" s="235"/>
      <c r="U96" s="235"/>
      <c r="V96" s="235"/>
      <c r="W96" s="235"/>
      <c r="X96" s="235"/>
      <c r="Y96" s="235"/>
      <c r="Z96" s="235"/>
    </row>
    <row r="97" spans="1:26" s="244" customFormat="1" x14ac:dyDescent="0.25">
      <c r="A97" s="240"/>
      <c r="B97" s="241"/>
      <c r="C97" s="234"/>
      <c r="D97" s="249"/>
      <c r="E97" s="241"/>
      <c r="F97" s="241"/>
      <c r="G97" s="241"/>
      <c r="H97" s="241"/>
      <c r="I97" s="241"/>
      <c r="J97" s="241"/>
      <c r="K97" s="234"/>
      <c r="L97" s="243"/>
      <c r="M97" s="235"/>
      <c r="N97" s="235"/>
      <c r="O97" s="235"/>
      <c r="P97" s="235"/>
      <c r="Q97" s="235"/>
      <c r="R97" s="235"/>
      <c r="S97" s="235"/>
      <c r="T97" s="235"/>
      <c r="U97" s="235"/>
      <c r="V97" s="235"/>
      <c r="W97" s="235"/>
      <c r="X97" s="235"/>
      <c r="Y97" s="235"/>
      <c r="Z97" s="235"/>
    </row>
    <row r="98" spans="1:26" s="244" customFormat="1" x14ac:dyDescent="0.25">
      <c r="A98" s="240"/>
      <c r="B98" s="241"/>
      <c r="C98" s="234"/>
      <c r="D98" s="249"/>
      <c r="E98" s="241"/>
      <c r="F98" s="241"/>
      <c r="G98" s="241"/>
      <c r="H98" s="241"/>
      <c r="I98" s="241"/>
      <c r="J98" s="241"/>
      <c r="K98" s="250"/>
      <c r="L98" s="243"/>
      <c r="M98" s="235"/>
      <c r="N98" s="235"/>
      <c r="O98" s="235"/>
      <c r="P98" s="235"/>
      <c r="Q98" s="235"/>
      <c r="R98" s="235"/>
      <c r="S98" s="235"/>
      <c r="T98" s="235"/>
      <c r="U98" s="235"/>
      <c r="V98" s="235"/>
      <c r="W98" s="235"/>
      <c r="X98" s="235"/>
      <c r="Y98" s="235"/>
      <c r="Z98" s="235"/>
    </row>
    <row r="99" spans="1:26" s="244" customFormat="1" x14ac:dyDescent="0.25">
      <c r="A99" s="240"/>
      <c r="B99" s="241"/>
      <c r="C99" s="234"/>
      <c r="D99" s="249"/>
      <c r="E99" s="241"/>
      <c r="F99" s="241"/>
      <c r="G99" s="241"/>
      <c r="H99" s="241"/>
      <c r="I99" s="241"/>
      <c r="J99" s="241"/>
      <c r="K99" s="250"/>
      <c r="L99" s="243"/>
      <c r="M99" s="235"/>
      <c r="N99" s="235"/>
      <c r="O99" s="235"/>
      <c r="P99" s="235"/>
      <c r="Q99" s="235"/>
      <c r="R99" s="235"/>
      <c r="S99" s="235"/>
      <c r="T99" s="235"/>
      <c r="U99" s="235"/>
      <c r="V99" s="235"/>
      <c r="W99" s="235"/>
      <c r="X99" s="235"/>
      <c r="Y99" s="235"/>
      <c r="Z99" s="235"/>
    </row>
    <row r="100" spans="1:26" s="244" customFormat="1" x14ac:dyDescent="0.25">
      <c r="A100" s="240"/>
      <c r="B100" s="241"/>
      <c r="C100" s="234"/>
      <c r="D100" s="249"/>
      <c r="E100" s="241"/>
      <c r="F100" s="241"/>
      <c r="G100" s="241"/>
      <c r="H100" s="241"/>
      <c r="I100" s="241"/>
      <c r="J100" s="241"/>
      <c r="K100" s="250"/>
      <c r="L100" s="243"/>
      <c r="M100" s="235"/>
      <c r="N100" s="235"/>
      <c r="O100" s="235"/>
      <c r="P100" s="235"/>
      <c r="Q100" s="235"/>
      <c r="R100" s="235"/>
      <c r="S100" s="235"/>
      <c r="T100" s="235"/>
      <c r="U100" s="235"/>
      <c r="V100" s="235"/>
      <c r="W100" s="235"/>
      <c r="X100" s="235"/>
      <c r="Y100" s="235"/>
      <c r="Z100" s="235"/>
    </row>
    <row r="101" spans="1:26" s="244" customFormat="1" x14ac:dyDescent="0.25">
      <c r="A101" s="248"/>
      <c r="B101" s="241"/>
      <c r="C101" s="241"/>
      <c r="D101" s="249"/>
      <c r="E101" s="241"/>
      <c r="F101" s="241"/>
      <c r="G101" s="241"/>
      <c r="H101" s="241"/>
      <c r="I101" s="241"/>
      <c r="J101" s="241"/>
      <c r="K101" s="250"/>
      <c r="L101" s="252">
        <f>COUNTA($K$95:$K$101)</f>
        <v>1</v>
      </c>
      <c r="M101" s="235"/>
      <c r="N101" s="235"/>
      <c r="O101" s="235"/>
      <c r="P101" s="235"/>
      <c r="Q101" s="235"/>
      <c r="R101" s="235"/>
      <c r="S101" s="235"/>
      <c r="T101" s="235"/>
      <c r="U101" s="235"/>
      <c r="V101" s="235"/>
      <c r="W101" s="235"/>
      <c r="X101" s="235"/>
      <c r="Y101" s="235"/>
      <c r="Z101" s="235"/>
    </row>
    <row r="102" spans="1:26" s="613" customFormat="1" x14ac:dyDescent="0.25">
      <c r="A102" s="615"/>
      <c r="B102" s="616"/>
      <c r="C102" s="616"/>
      <c r="D102" s="616"/>
      <c r="E102" s="616"/>
      <c r="F102" s="616"/>
      <c r="G102" s="616"/>
      <c r="H102" s="616"/>
      <c r="I102" s="616"/>
      <c r="J102" s="616"/>
      <c r="K102" s="616"/>
      <c r="L102" s="616"/>
      <c r="M102" s="616"/>
      <c r="N102" s="616"/>
      <c r="O102" s="616"/>
      <c r="P102" s="616"/>
      <c r="Q102" s="616"/>
      <c r="R102" s="616"/>
      <c r="S102" s="616"/>
      <c r="T102" s="616"/>
      <c r="U102" s="616"/>
      <c r="V102" s="616"/>
      <c r="W102" s="616"/>
      <c r="X102" s="616"/>
      <c r="Y102" s="616"/>
      <c r="Z102" s="616"/>
    </row>
    <row r="103" spans="1:26" ht="80.25" customHeight="1" x14ac:dyDescent="0.25">
      <c r="A103" s="603" t="s">
        <v>922</v>
      </c>
      <c r="B103" s="604"/>
      <c r="C103" s="269" t="s">
        <v>236</v>
      </c>
      <c r="D103" s="370"/>
      <c r="E103" s="370"/>
      <c r="F103" s="370"/>
      <c r="G103" s="370"/>
      <c r="H103" s="370"/>
      <c r="I103" s="370"/>
      <c r="J103" s="370"/>
      <c r="K103" s="371"/>
      <c r="L103" s="201"/>
      <c r="M103" s="211"/>
      <c r="N103" s="211"/>
      <c r="O103" s="211"/>
      <c r="P103" s="211"/>
      <c r="Q103" s="211"/>
      <c r="R103" s="211"/>
      <c r="S103" s="211"/>
      <c r="T103" s="211"/>
      <c r="U103" s="211"/>
      <c r="V103" s="211"/>
      <c r="W103" s="211"/>
      <c r="X103" s="211"/>
      <c r="Y103" s="211"/>
      <c r="Z103" s="211"/>
    </row>
    <row r="104" spans="1:26" ht="80.25" customHeight="1" x14ac:dyDescent="0.25">
      <c r="A104" s="254" t="s">
        <v>923</v>
      </c>
      <c r="B104" s="238" t="s">
        <v>81</v>
      </c>
      <c r="C104" s="245" t="s">
        <v>274</v>
      </c>
      <c r="D104" s="238" t="s">
        <v>334</v>
      </c>
      <c r="E104" s="238" t="s">
        <v>230</v>
      </c>
      <c r="F104" s="246" t="s">
        <v>215</v>
      </c>
      <c r="G104" s="245" t="s">
        <v>440</v>
      </c>
      <c r="H104" s="245" t="s">
        <v>336</v>
      </c>
      <c r="I104" s="247" t="s">
        <v>294</v>
      </c>
      <c r="J104" s="300"/>
      <c r="K104" s="300"/>
      <c r="L104" s="201"/>
      <c r="M104" s="211"/>
      <c r="N104" s="211"/>
      <c r="O104" s="211"/>
      <c r="P104" s="211"/>
      <c r="Q104" s="211"/>
      <c r="R104" s="211"/>
      <c r="S104" s="211"/>
      <c r="T104" s="211"/>
      <c r="U104" s="211"/>
      <c r="V104" s="211"/>
      <c r="W104" s="211"/>
      <c r="X104" s="211"/>
      <c r="Y104" s="211"/>
      <c r="Z104" s="211"/>
    </row>
    <row r="105" spans="1:26" s="244" customFormat="1" x14ac:dyDescent="0.25">
      <c r="A105" s="248"/>
      <c r="B105" s="241"/>
      <c r="C105" s="234"/>
      <c r="D105" s="249"/>
      <c r="E105" s="241"/>
      <c r="F105" s="241" t="s">
        <v>236</v>
      </c>
      <c r="G105" s="241" t="s">
        <v>236</v>
      </c>
      <c r="H105" s="234" t="s">
        <v>236</v>
      </c>
      <c r="I105" s="234" t="s">
        <v>208</v>
      </c>
      <c r="J105" s="300"/>
      <c r="K105" s="300"/>
      <c r="L105" s="243"/>
      <c r="M105" s="235"/>
      <c r="N105" s="235"/>
      <c r="O105" s="235"/>
      <c r="P105" s="235"/>
      <c r="Q105" s="235"/>
      <c r="R105" s="235"/>
      <c r="S105" s="235"/>
      <c r="T105" s="235"/>
      <c r="U105" s="235"/>
      <c r="V105" s="235"/>
      <c r="W105" s="235"/>
      <c r="X105" s="235"/>
      <c r="Y105" s="235"/>
      <c r="Z105" s="235"/>
    </row>
    <row r="106" spans="1:26" s="244" customFormat="1" x14ac:dyDescent="0.25">
      <c r="A106" s="248"/>
      <c r="B106" s="241"/>
      <c r="C106" s="234"/>
      <c r="D106" s="249"/>
      <c r="E106" s="241"/>
      <c r="F106" s="241"/>
      <c r="G106" s="241"/>
      <c r="H106" s="234"/>
      <c r="I106" s="234"/>
      <c r="J106" s="300"/>
      <c r="K106" s="300"/>
      <c r="L106" s="243"/>
      <c r="M106" s="235"/>
      <c r="N106" s="235"/>
      <c r="O106" s="235"/>
      <c r="P106" s="235"/>
      <c r="Q106" s="235"/>
      <c r="R106" s="235"/>
      <c r="S106" s="235"/>
      <c r="T106" s="235"/>
      <c r="U106" s="235"/>
      <c r="V106" s="235"/>
      <c r="W106" s="235"/>
      <c r="X106" s="235"/>
      <c r="Y106" s="235"/>
      <c r="Z106" s="235"/>
    </row>
    <row r="107" spans="1:26" s="244" customFormat="1" x14ac:dyDescent="0.25">
      <c r="A107" s="248"/>
      <c r="B107" s="241"/>
      <c r="C107" s="234"/>
      <c r="D107" s="249"/>
      <c r="E107" s="241"/>
      <c r="F107" s="241"/>
      <c r="G107" s="241"/>
      <c r="H107" s="234"/>
      <c r="I107" s="234"/>
      <c r="J107" s="300"/>
      <c r="K107" s="300"/>
      <c r="L107" s="243"/>
      <c r="M107" s="235"/>
      <c r="N107" s="235"/>
      <c r="O107" s="235"/>
      <c r="P107" s="235"/>
      <c r="Q107" s="235"/>
      <c r="R107" s="235"/>
      <c r="S107" s="235"/>
      <c r="T107" s="235"/>
      <c r="U107" s="235"/>
      <c r="V107" s="235"/>
      <c r="W107" s="235"/>
      <c r="X107" s="235"/>
      <c r="Y107" s="235"/>
      <c r="Z107" s="235"/>
    </row>
    <row r="108" spans="1:26" s="244" customFormat="1" x14ac:dyDescent="0.25">
      <c r="A108" s="248"/>
      <c r="B108" s="241"/>
      <c r="C108" s="234"/>
      <c r="D108" s="249"/>
      <c r="E108" s="241"/>
      <c r="F108" s="241"/>
      <c r="G108" s="241"/>
      <c r="H108" s="234"/>
      <c r="I108" s="250"/>
      <c r="J108" s="300"/>
      <c r="K108" s="300"/>
      <c r="L108" s="243"/>
      <c r="M108" s="235"/>
      <c r="N108" s="235"/>
      <c r="O108" s="235"/>
      <c r="P108" s="235"/>
      <c r="Q108" s="235"/>
      <c r="R108" s="235"/>
      <c r="S108" s="235"/>
      <c r="T108" s="235"/>
      <c r="U108" s="235"/>
      <c r="V108" s="235"/>
      <c r="W108" s="235"/>
      <c r="X108" s="235"/>
      <c r="Y108" s="235"/>
      <c r="Z108" s="235"/>
    </row>
    <row r="109" spans="1:26" s="244" customFormat="1" x14ac:dyDescent="0.25">
      <c r="A109" s="248"/>
      <c r="B109" s="241"/>
      <c r="C109" s="234"/>
      <c r="D109" s="249"/>
      <c r="E109" s="241"/>
      <c r="F109" s="241"/>
      <c r="G109" s="241"/>
      <c r="H109" s="234"/>
      <c r="I109" s="250"/>
      <c r="J109" s="300"/>
      <c r="K109" s="300"/>
      <c r="L109" s="243"/>
      <c r="M109" s="235"/>
      <c r="N109" s="235"/>
      <c r="O109" s="235"/>
      <c r="P109" s="235"/>
      <c r="Q109" s="235"/>
      <c r="R109" s="235"/>
      <c r="S109" s="235"/>
      <c r="T109" s="235"/>
      <c r="U109" s="235"/>
      <c r="V109" s="235"/>
      <c r="W109" s="235"/>
      <c r="X109" s="235"/>
      <c r="Y109" s="235"/>
      <c r="Z109" s="235"/>
    </row>
    <row r="110" spans="1:26" s="244" customFormat="1" x14ac:dyDescent="0.25">
      <c r="A110" s="248"/>
      <c r="B110" s="241"/>
      <c r="C110" s="234"/>
      <c r="D110" s="249"/>
      <c r="E110" s="241"/>
      <c r="F110" s="241"/>
      <c r="G110" s="241"/>
      <c r="H110" s="234"/>
      <c r="I110" s="250"/>
      <c r="J110" s="300"/>
      <c r="K110" s="300"/>
      <c r="L110" s="243"/>
      <c r="M110" s="235"/>
      <c r="N110" s="235"/>
      <c r="O110" s="235"/>
      <c r="P110" s="235"/>
      <c r="Q110" s="235"/>
      <c r="R110" s="235"/>
      <c r="S110" s="235"/>
      <c r="T110" s="235"/>
      <c r="U110" s="235"/>
      <c r="V110" s="235"/>
      <c r="W110" s="235"/>
      <c r="X110" s="235"/>
      <c r="Y110" s="235"/>
      <c r="Z110" s="235"/>
    </row>
    <row r="111" spans="1:26" s="244" customFormat="1" x14ac:dyDescent="0.25">
      <c r="A111" s="248"/>
      <c r="B111" s="241"/>
      <c r="C111" s="234"/>
      <c r="D111" s="249"/>
      <c r="E111" s="241"/>
      <c r="F111" s="241"/>
      <c r="G111" s="241"/>
      <c r="H111" s="234"/>
      <c r="I111" s="250"/>
      <c r="J111" s="300"/>
      <c r="K111" s="300"/>
      <c r="L111" s="243"/>
      <c r="M111" s="235"/>
      <c r="N111" s="235"/>
      <c r="O111" s="235"/>
      <c r="P111" s="235"/>
      <c r="Q111" s="235"/>
      <c r="R111" s="235"/>
      <c r="S111" s="235"/>
      <c r="T111" s="235"/>
      <c r="U111" s="235"/>
      <c r="V111" s="235"/>
      <c r="W111" s="235"/>
      <c r="X111" s="235"/>
      <c r="Y111" s="235"/>
      <c r="Z111" s="235"/>
    </row>
    <row r="112" spans="1:26" s="244" customFormat="1" x14ac:dyDescent="0.25">
      <c r="A112" s="248"/>
      <c r="B112" s="241"/>
      <c r="C112" s="234"/>
      <c r="D112" s="249"/>
      <c r="E112" s="241"/>
      <c r="F112" s="241"/>
      <c r="G112" s="241"/>
      <c r="H112" s="234"/>
      <c r="I112" s="250"/>
      <c r="J112" s="300"/>
      <c r="K112" s="300"/>
      <c r="L112" s="243"/>
      <c r="M112" s="235"/>
      <c r="N112" s="235"/>
      <c r="O112" s="235"/>
      <c r="P112" s="235"/>
      <c r="Q112" s="235"/>
      <c r="R112" s="235"/>
      <c r="S112" s="235"/>
      <c r="T112" s="235"/>
      <c r="U112" s="235"/>
      <c r="V112" s="235"/>
      <c r="W112" s="235"/>
      <c r="X112" s="235"/>
      <c r="Y112" s="235"/>
      <c r="Z112" s="235"/>
    </row>
    <row r="113" spans="1:26" s="244" customFormat="1" x14ac:dyDescent="0.25">
      <c r="A113" s="248"/>
      <c r="B113" s="241"/>
      <c r="C113" s="234"/>
      <c r="D113" s="249"/>
      <c r="E113" s="241"/>
      <c r="F113" s="241"/>
      <c r="G113" s="241"/>
      <c r="H113" s="241"/>
      <c r="I113" s="250"/>
      <c r="J113" s="300"/>
      <c r="K113" s="300"/>
      <c r="L113" s="243"/>
      <c r="M113" s="235"/>
      <c r="N113" s="235"/>
      <c r="O113" s="235"/>
      <c r="P113" s="235"/>
      <c r="Q113" s="235"/>
      <c r="R113" s="235"/>
      <c r="S113" s="235"/>
      <c r="T113" s="235"/>
      <c r="U113" s="235"/>
      <c r="V113" s="235"/>
      <c r="W113" s="235"/>
      <c r="X113" s="235"/>
      <c r="Y113" s="235"/>
      <c r="Z113" s="235"/>
    </row>
    <row r="114" spans="1:26" s="244" customFormat="1" x14ac:dyDescent="0.25">
      <c r="A114" s="248"/>
      <c r="B114" s="241"/>
      <c r="C114" s="234"/>
      <c r="D114" s="249"/>
      <c r="E114" s="241"/>
      <c r="F114" s="241"/>
      <c r="G114" s="241"/>
      <c r="H114" s="241"/>
      <c r="I114" s="250"/>
      <c r="J114" s="300"/>
      <c r="K114" s="300"/>
      <c r="L114" s="243"/>
      <c r="M114" s="235"/>
      <c r="N114" s="235"/>
      <c r="O114" s="235"/>
      <c r="P114" s="235"/>
      <c r="Q114" s="235"/>
      <c r="R114" s="235"/>
      <c r="S114" s="235"/>
      <c r="T114" s="235"/>
      <c r="U114" s="235"/>
      <c r="V114" s="235"/>
      <c r="W114" s="235"/>
      <c r="X114" s="235"/>
      <c r="Y114" s="235"/>
      <c r="Z114" s="235"/>
    </row>
    <row r="115" spans="1:26" s="244" customFormat="1" x14ac:dyDescent="0.25">
      <c r="A115" s="248"/>
      <c r="B115" s="241"/>
      <c r="C115" s="234"/>
      <c r="D115" s="249"/>
      <c r="E115" s="241"/>
      <c r="F115" s="241"/>
      <c r="G115" s="241"/>
      <c r="H115" s="241"/>
      <c r="I115" s="250"/>
      <c r="J115" s="300"/>
      <c r="K115" s="300"/>
      <c r="L115" s="243"/>
      <c r="M115" s="235"/>
      <c r="N115" s="235"/>
      <c r="O115" s="235"/>
      <c r="P115" s="235"/>
      <c r="Q115" s="235"/>
      <c r="R115" s="235"/>
      <c r="S115" s="235"/>
      <c r="T115" s="235"/>
      <c r="U115" s="235"/>
      <c r="V115" s="235"/>
      <c r="W115" s="235"/>
      <c r="X115" s="235"/>
      <c r="Y115" s="235"/>
      <c r="Z115" s="235"/>
    </row>
    <row r="116" spans="1:26" s="244" customFormat="1" x14ac:dyDescent="0.25">
      <c r="A116" s="248"/>
      <c r="B116" s="241"/>
      <c r="C116" s="234"/>
      <c r="D116" s="249"/>
      <c r="E116" s="241"/>
      <c r="F116" s="241"/>
      <c r="G116" s="241"/>
      <c r="H116" s="241"/>
      <c r="I116" s="250"/>
      <c r="J116" s="300"/>
      <c r="K116" s="300"/>
      <c r="L116" s="243"/>
      <c r="M116" s="235"/>
      <c r="N116" s="235"/>
      <c r="O116" s="235"/>
      <c r="P116" s="235"/>
      <c r="Q116" s="235"/>
      <c r="R116" s="235"/>
      <c r="S116" s="235"/>
      <c r="T116" s="235"/>
      <c r="U116" s="235"/>
      <c r="V116" s="235"/>
      <c r="W116" s="235"/>
      <c r="X116" s="235"/>
      <c r="Y116" s="235"/>
      <c r="Z116" s="235"/>
    </row>
    <row r="117" spans="1:26" s="244" customFormat="1" x14ac:dyDescent="0.25">
      <c r="A117" s="248"/>
      <c r="B117" s="241"/>
      <c r="C117" s="234"/>
      <c r="D117" s="249"/>
      <c r="E117" s="241"/>
      <c r="F117" s="241"/>
      <c r="G117" s="241"/>
      <c r="H117" s="241"/>
      <c r="I117" s="250"/>
      <c r="J117" s="300"/>
      <c r="K117" s="300"/>
      <c r="L117" s="243"/>
      <c r="M117" s="235"/>
      <c r="N117" s="235"/>
      <c r="O117" s="235"/>
      <c r="P117" s="235"/>
      <c r="Q117" s="235"/>
      <c r="R117" s="235"/>
      <c r="S117" s="235"/>
      <c r="T117" s="235"/>
      <c r="U117" s="235"/>
      <c r="V117" s="235"/>
      <c r="W117" s="235"/>
      <c r="X117" s="235"/>
      <c r="Y117" s="235"/>
      <c r="Z117" s="235"/>
    </row>
    <row r="118" spans="1:26" s="244" customFormat="1" x14ac:dyDescent="0.25">
      <c r="A118" s="248"/>
      <c r="B118" s="241"/>
      <c r="C118" s="234"/>
      <c r="D118" s="249"/>
      <c r="E118" s="241"/>
      <c r="F118" s="241"/>
      <c r="G118" s="241"/>
      <c r="H118" s="241"/>
      <c r="I118" s="250"/>
      <c r="J118" s="300"/>
      <c r="K118" s="300"/>
      <c r="L118" s="243"/>
      <c r="M118" s="235"/>
      <c r="N118" s="235"/>
      <c r="O118" s="235"/>
      <c r="P118" s="235"/>
      <c r="Q118" s="235"/>
      <c r="R118" s="235"/>
      <c r="S118" s="235"/>
      <c r="T118" s="235"/>
      <c r="U118" s="235"/>
      <c r="V118" s="235"/>
      <c r="W118" s="235"/>
      <c r="X118" s="235"/>
      <c r="Y118" s="235"/>
      <c r="Z118" s="235"/>
    </row>
    <row r="119" spans="1:26" s="244" customFormat="1" x14ac:dyDescent="0.25">
      <c r="A119" s="248"/>
      <c r="B119" s="241"/>
      <c r="C119" s="234"/>
      <c r="D119" s="249"/>
      <c r="E119" s="241"/>
      <c r="F119" s="241"/>
      <c r="G119" s="241"/>
      <c r="H119" s="241"/>
      <c r="I119" s="250"/>
      <c r="J119" s="300"/>
      <c r="K119" s="300"/>
      <c r="L119" s="243"/>
      <c r="M119" s="235"/>
      <c r="N119" s="235"/>
      <c r="O119" s="235"/>
      <c r="P119" s="235"/>
      <c r="Q119" s="235"/>
      <c r="R119" s="235"/>
      <c r="S119" s="235"/>
      <c r="T119" s="235"/>
      <c r="U119" s="235"/>
      <c r="V119" s="235"/>
      <c r="W119" s="235"/>
      <c r="X119" s="235"/>
      <c r="Y119" s="235"/>
      <c r="Z119" s="235"/>
    </row>
    <row r="120" spans="1:26" s="244" customFormat="1" x14ac:dyDescent="0.25">
      <c r="A120" s="248"/>
      <c r="B120" s="241"/>
      <c r="C120" s="234"/>
      <c r="D120" s="249"/>
      <c r="E120" s="241"/>
      <c r="F120" s="241"/>
      <c r="G120" s="241"/>
      <c r="H120" s="241"/>
      <c r="I120" s="250"/>
      <c r="J120" s="300"/>
      <c r="K120" s="300"/>
      <c r="L120" s="243"/>
      <c r="M120" s="235"/>
      <c r="N120" s="235"/>
      <c r="O120" s="235"/>
      <c r="P120" s="235"/>
      <c r="Q120" s="235"/>
      <c r="R120" s="235"/>
      <c r="S120" s="235"/>
      <c r="T120" s="235"/>
      <c r="U120" s="235"/>
      <c r="V120" s="235"/>
      <c r="W120" s="235"/>
      <c r="X120" s="235"/>
      <c r="Y120" s="235"/>
      <c r="Z120" s="235"/>
    </row>
    <row r="121" spans="1:26" s="244" customFormat="1" x14ac:dyDescent="0.25">
      <c r="A121" s="248"/>
      <c r="B121" s="241"/>
      <c r="C121" s="234"/>
      <c r="D121" s="249"/>
      <c r="E121" s="241"/>
      <c r="F121" s="241"/>
      <c r="G121" s="241"/>
      <c r="H121" s="241"/>
      <c r="I121" s="250"/>
      <c r="J121" s="300"/>
      <c r="K121" s="300"/>
      <c r="L121" s="243"/>
      <c r="M121" s="235"/>
      <c r="N121" s="235"/>
      <c r="O121" s="235"/>
      <c r="P121" s="235"/>
      <c r="Q121" s="235"/>
      <c r="R121" s="235"/>
      <c r="S121" s="235"/>
      <c r="T121" s="235"/>
      <c r="U121" s="235"/>
      <c r="V121" s="235"/>
      <c r="W121" s="235"/>
      <c r="X121" s="235"/>
      <c r="Y121" s="235"/>
      <c r="Z121" s="235"/>
    </row>
    <row r="122" spans="1:26" s="244" customFormat="1" x14ac:dyDescent="0.25">
      <c r="A122" s="248"/>
      <c r="B122" s="241"/>
      <c r="C122" s="234"/>
      <c r="D122" s="249"/>
      <c r="E122" s="241"/>
      <c r="F122" s="241"/>
      <c r="G122" s="241"/>
      <c r="H122" s="241"/>
      <c r="I122" s="250"/>
      <c r="J122" s="300"/>
      <c r="K122" s="300"/>
      <c r="L122" s="243"/>
      <c r="M122" s="235"/>
      <c r="N122" s="235"/>
      <c r="O122" s="235"/>
      <c r="P122" s="235"/>
      <c r="Q122" s="235"/>
      <c r="R122" s="235"/>
      <c r="S122" s="235"/>
      <c r="T122" s="235"/>
      <c r="U122" s="235"/>
      <c r="V122" s="235"/>
      <c r="W122" s="235"/>
      <c r="X122" s="235"/>
      <c r="Y122" s="235"/>
      <c r="Z122" s="235"/>
    </row>
    <row r="123" spans="1:26" s="244" customFormat="1" x14ac:dyDescent="0.25">
      <c r="A123" s="248"/>
      <c r="B123" s="241"/>
      <c r="C123" s="234"/>
      <c r="D123" s="249"/>
      <c r="E123" s="241"/>
      <c r="F123" s="241"/>
      <c r="G123" s="241"/>
      <c r="H123" s="241"/>
      <c r="I123" s="250"/>
      <c r="J123" s="300"/>
      <c r="K123" s="300"/>
      <c r="L123" s="243"/>
      <c r="M123" s="235"/>
      <c r="N123" s="235"/>
      <c r="O123" s="235"/>
      <c r="P123" s="235"/>
      <c r="Q123" s="235"/>
      <c r="R123" s="235"/>
      <c r="S123" s="235"/>
      <c r="T123" s="235"/>
      <c r="U123" s="235"/>
      <c r="V123" s="235"/>
      <c r="W123" s="235"/>
      <c r="X123" s="235"/>
      <c r="Y123" s="235"/>
      <c r="Z123" s="235"/>
    </row>
    <row r="124" spans="1:26" s="244" customFormat="1" x14ac:dyDescent="0.25">
      <c r="A124" s="248"/>
      <c r="B124" s="241"/>
      <c r="C124" s="234"/>
      <c r="D124" s="249"/>
      <c r="E124" s="241"/>
      <c r="F124" s="241"/>
      <c r="G124" s="241"/>
      <c r="H124" s="241"/>
      <c r="I124" s="250"/>
      <c r="J124" s="300"/>
      <c r="K124" s="300"/>
      <c r="L124" s="243"/>
      <c r="M124" s="235"/>
      <c r="N124" s="235"/>
      <c r="O124" s="235"/>
      <c r="P124" s="235"/>
      <c r="Q124" s="235"/>
      <c r="R124" s="235"/>
      <c r="S124" s="235"/>
      <c r="T124" s="235"/>
      <c r="U124" s="235"/>
      <c r="V124" s="235"/>
      <c r="W124" s="235"/>
      <c r="X124" s="235"/>
      <c r="Y124" s="235"/>
      <c r="Z124" s="235"/>
    </row>
    <row r="125" spans="1:26" s="244" customFormat="1" ht="16.5" thickBot="1" x14ac:dyDescent="0.3">
      <c r="A125" s="255"/>
      <c r="B125" s="157"/>
      <c r="C125" s="256"/>
      <c r="D125" s="249"/>
      <c r="E125" s="157"/>
      <c r="F125" s="157"/>
      <c r="G125" s="157"/>
      <c r="H125" s="157"/>
      <c r="I125" s="257"/>
      <c r="J125" s="304">
        <f>COUNTA($I$105:$I$125)</f>
        <v>1</v>
      </c>
      <c r="K125" s="300"/>
      <c r="L125" s="243"/>
      <c r="M125" s="235"/>
      <c r="N125" s="235"/>
      <c r="O125" s="235"/>
      <c r="P125" s="235"/>
      <c r="Q125" s="235"/>
      <c r="R125" s="235"/>
      <c r="S125" s="235"/>
      <c r="T125" s="235"/>
      <c r="U125" s="235"/>
      <c r="V125" s="235"/>
      <c r="W125" s="235"/>
      <c r="X125" s="235"/>
      <c r="Y125" s="235"/>
      <c r="Z125" s="235"/>
    </row>
    <row r="126" spans="1:26" ht="16.5" thickBot="1" x14ac:dyDescent="0.3">
      <c r="A126" s="586" t="s">
        <v>1</v>
      </c>
      <c r="B126" s="587"/>
      <c r="C126" s="587"/>
      <c r="D126" s="587"/>
      <c r="E126" s="587"/>
      <c r="F126" s="587"/>
      <c r="G126" s="587"/>
      <c r="H126" s="587"/>
      <c r="I126" s="587"/>
      <c r="J126" s="587"/>
      <c r="K126" s="588"/>
      <c r="L126" s="201"/>
      <c r="M126" s="211"/>
      <c r="N126" s="211"/>
      <c r="O126" s="211"/>
      <c r="P126" s="211"/>
      <c r="Q126" s="211"/>
      <c r="R126" s="211"/>
      <c r="S126" s="211"/>
      <c r="T126" s="211"/>
      <c r="U126" s="211"/>
      <c r="V126" s="211"/>
      <c r="W126" s="211"/>
      <c r="X126" s="211"/>
      <c r="Y126" s="211"/>
      <c r="Z126" s="211"/>
    </row>
    <row r="127" spans="1:26" ht="17.25" thickTop="1" thickBot="1" x14ac:dyDescent="0.3">
      <c r="A127" s="423"/>
      <c r="B127" s="423"/>
      <c r="C127" s="423"/>
      <c r="D127" s="423"/>
      <c r="E127" s="423"/>
      <c r="F127" s="423"/>
      <c r="G127" s="423"/>
      <c r="H127" s="423"/>
      <c r="I127" s="423"/>
      <c r="J127" s="423"/>
      <c r="K127" s="423"/>
      <c r="L127" s="201"/>
      <c r="M127" s="211"/>
      <c r="N127" s="211"/>
      <c r="O127" s="211"/>
      <c r="P127" s="211"/>
      <c r="Q127" s="211"/>
      <c r="R127" s="211"/>
      <c r="S127" s="211"/>
      <c r="T127" s="211"/>
      <c r="U127" s="211"/>
      <c r="V127" s="211"/>
      <c r="W127" s="211"/>
      <c r="X127" s="211"/>
      <c r="Y127" s="211"/>
      <c r="Z127" s="211"/>
    </row>
    <row r="128" spans="1:26" ht="17.25" thickTop="1" thickBot="1" x14ac:dyDescent="0.3">
      <c r="A128" s="423" t="s">
        <v>428</v>
      </c>
      <c r="B128" s="423"/>
      <c r="C128" s="423"/>
      <c r="D128" s="423"/>
      <c r="E128" s="423"/>
      <c r="F128" s="423"/>
      <c r="G128" s="423"/>
      <c r="H128" s="423"/>
      <c r="I128" s="423"/>
      <c r="J128" s="423"/>
      <c r="K128" s="423"/>
      <c r="L128" s="201"/>
      <c r="M128" s="211"/>
      <c r="N128" s="211"/>
      <c r="O128" s="211"/>
      <c r="P128" s="211"/>
      <c r="Q128" s="211"/>
      <c r="R128" s="211"/>
      <c r="S128" s="211"/>
      <c r="T128" s="211"/>
      <c r="U128" s="211"/>
      <c r="V128" s="211"/>
      <c r="W128" s="211"/>
      <c r="X128" s="211"/>
      <c r="Y128" s="211"/>
      <c r="Z128" s="211"/>
    </row>
    <row r="129" spans="1:26" ht="64.5" customHeight="1" thickTop="1" thickBot="1" x14ac:dyDescent="0.3">
      <c r="A129" s="585" t="s">
        <v>427</v>
      </c>
      <c r="B129" s="585"/>
      <c r="C129" s="585"/>
      <c r="D129" s="585"/>
      <c r="E129" s="422" t="s">
        <v>426</v>
      </c>
      <c r="F129" s="421" t="s">
        <v>430</v>
      </c>
      <c r="G129" s="423"/>
      <c r="H129" s="423"/>
      <c r="I129" s="423"/>
      <c r="J129" s="423"/>
      <c r="K129" s="423"/>
      <c r="L129" s="201"/>
      <c r="M129" s="211"/>
      <c r="N129" s="211"/>
      <c r="O129" s="211"/>
      <c r="P129" s="211"/>
      <c r="Q129" s="211"/>
      <c r="R129" s="211"/>
      <c r="S129" s="211"/>
      <c r="T129" s="211"/>
      <c r="U129" s="211"/>
      <c r="V129" s="211"/>
      <c r="W129" s="211"/>
      <c r="X129" s="211"/>
      <c r="Y129" s="211"/>
      <c r="Z129" s="211"/>
    </row>
    <row r="130" spans="1:26" ht="17.25" thickTop="1" thickBot="1" x14ac:dyDescent="0.3">
      <c r="A130" s="423"/>
      <c r="B130" s="423"/>
      <c r="C130" s="423"/>
      <c r="D130" s="423"/>
      <c r="E130" s="423"/>
      <c r="F130" s="423"/>
      <c r="G130" s="423"/>
      <c r="H130" s="423"/>
      <c r="I130" s="423"/>
      <c r="J130" s="423"/>
      <c r="K130" s="423"/>
      <c r="L130" s="201"/>
      <c r="M130" s="211"/>
      <c r="N130" s="211"/>
      <c r="O130" s="211"/>
      <c r="P130" s="211"/>
      <c r="Q130" s="211"/>
      <c r="R130" s="211"/>
      <c r="S130" s="211"/>
      <c r="T130" s="211"/>
      <c r="U130" s="211"/>
      <c r="V130" s="211"/>
      <c r="W130" s="211"/>
      <c r="X130" s="211"/>
      <c r="Y130" s="211"/>
      <c r="Z130" s="211"/>
    </row>
    <row r="131" spans="1:26" ht="17.25" thickTop="1" thickBot="1" x14ac:dyDescent="0.3">
      <c r="A131" s="423"/>
      <c r="B131" s="423"/>
      <c r="C131" s="423"/>
      <c r="D131" s="423"/>
      <c r="E131" s="423"/>
      <c r="F131" s="423"/>
      <c r="G131" s="423"/>
      <c r="H131" s="423"/>
      <c r="I131" s="423"/>
      <c r="J131" s="423"/>
      <c r="K131" s="423"/>
      <c r="L131" s="201"/>
      <c r="M131" s="211"/>
      <c r="N131" s="211"/>
      <c r="O131" s="211"/>
      <c r="P131" s="211"/>
      <c r="Q131" s="211"/>
      <c r="R131" s="211"/>
      <c r="S131" s="211"/>
      <c r="T131" s="211"/>
      <c r="U131" s="211"/>
      <c r="V131" s="211"/>
      <c r="W131" s="211"/>
      <c r="X131" s="211"/>
      <c r="Y131" s="211"/>
      <c r="Z131" s="211"/>
    </row>
    <row r="132" spans="1:26" ht="17.25" thickTop="1" thickBot="1" x14ac:dyDescent="0.3">
      <c r="A132" s="362"/>
      <c r="B132" s="363"/>
      <c r="C132" s="363"/>
      <c r="D132" s="363"/>
      <c r="E132" s="363"/>
      <c r="F132" s="363"/>
      <c r="G132" s="363"/>
      <c r="H132" s="363"/>
      <c r="I132" s="363"/>
      <c r="J132" s="363"/>
      <c r="K132" s="364"/>
      <c r="L132" s="201"/>
      <c r="M132" s="211"/>
      <c r="N132" s="211"/>
      <c r="O132" s="211"/>
      <c r="P132" s="211"/>
      <c r="Q132" s="211"/>
      <c r="R132" s="211"/>
      <c r="S132" s="211"/>
      <c r="T132" s="211"/>
      <c r="U132" s="211"/>
      <c r="V132" s="211"/>
      <c r="W132" s="211"/>
      <c r="X132" s="211"/>
      <c r="Y132" s="211"/>
      <c r="Z132" s="211"/>
    </row>
    <row r="133" spans="1:26" ht="26.25" customHeight="1" x14ac:dyDescent="0.25">
      <c r="A133" s="201"/>
      <c r="B133" s="201"/>
      <c r="C133" s="201"/>
      <c r="D133" s="201"/>
      <c r="E133" s="201"/>
      <c r="F133" s="201"/>
      <c r="G133" s="201"/>
      <c r="H133" s="201"/>
      <c r="I133" s="201"/>
      <c r="J133" s="201"/>
      <c r="K133" s="201"/>
      <c r="L133" s="201"/>
      <c r="M133" s="211"/>
      <c r="N133" s="211"/>
      <c r="O133" s="211"/>
      <c r="P133" s="211"/>
      <c r="Q133" s="211"/>
      <c r="R133" s="211"/>
      <c r="S133" s="211"/>
      <c r="T133" s="211"/>
      <c r="U133" s="211"/>
      <c r="V133" s="211"/>
      <c r="W133" s="211"/>
      <c r="X133" s="211"/>
      <c r="Y133" s="211"/>
      <c r="Z133" s="211"/>
    </row>
    <row r="134" spans="1:26" ht="114.75" customHeight="1" x14ac:dyDescent="0.25">
      <c r="A134" s="201"/>
      <c r="B134" s="201"/>
      <c r="C134" s="201"/>
      <c r="D134" s="201"/>
      <c r="E134" s="201"/>
      <c r="F134" s="201"/>
      <c r="G134" s="201"/>
      <c r="H134" s="201"/>
      <c r="I134" s="201"/>
      <c r="J134" s="201"/>
      <c r="K134" s="201"/>
      <c r="L134" s="201"/>
      <c r="M134" s="211"/>
      <c r="N134" s="211"/>
      <c r="O134" s="211"/>
      <c r="P134" s="211"/>
      <c r="Q134" s="211"/>
      <c r="R134" s="211"/>
      <c r="S134" s="211"/>
      <c r="T134" s="211"/>
      <c r="U134" s="211"/>
      <c r="V134" s="211"/>
      <c r="W134" s="211"/>
      <c r="X134" s="211"/>
      <c r="Y134" s="211"/>
      <c r="Z134" s="211"/>
    </row>
    <row r="135" spans="1:26" ht="27" customHeight="1" x14ac:dyDescent="0.25">
      <c r="A135" s="211"/>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row>
    <row r="136" spans="1:26" s="211" customFormat="1" x14ac:dyDescent="0.25"/>
    <row r="137" spans="1:26" s="211" customFormat="1" x14ac:dyDescent="0.25"/>
    <row r="138" spans="1:26" s="211" customFormat="1" x14ac:dyDescent="0.25"/>
    <row r="139" spans="1:26" s="211" customFormat="1" x14ac:dyDescent="0.25"/>
    <row r="140" spans="1:26" s="211" customFormat="1" x14ac:dyDescent="0.25"/>
    <row r="141" spans="1:26" s="211" customFormat="1" x14ac:dyDescent="0.25"/>
    <row r="142" spans="1:26" s="211" customFormat="1" x14ac:dyDescent="0.25"/>
    <row r="143" spans="1:26" s="211" customFormat="1" ht="43.5" customHeight="1" x14ac:dyDescent="0.25"/>
    <row r="144" spans="1:26" s="211" customFormat="1" x14ac:dyDescent="0.25"/>
    <row r="145" s="211" customFormat="1" x14ac:dyDescent="0.25"/>
    <row r="146" s="211" customFormat="1" x14ac:dyDescent="0.25"/>
    <row r="147" s="211" customFormat="1" x14ac:dyDescent="0.25"/>
    <row r="148" s="211" customFormat="1" x14ac:dyDescent="0.25"/>
    <row r="149" s="211" customFormat="1" x14ac:dyDescent="0.25"/>
    <row r="150" s="211" customFormat="1" x14ac:dyDescent="0.25"/>
    <row r="151" s="211" customFormat="1" x14ac:dyDescent="0.25"/>
    <row r="152" s="211" customFormat="1" x14ac:dyDescent="0.25"/>
    <row r="153" s="211" customFormat="1" x14ac:dyDescent="0.25"/>
    <row r="154" s="211" customFormat="1" x14ac:dyDescent="0.25"/>
    <row r="155" s="211" customFormat="1" x14ac:dyDescent="0.25"/>
    <row r="156" s="211" customFormat="1" x14ac:dyDescent="0.25"/>
    <row r="157" s="211" customFormat="1" x14ac:dyDescent="0.25"/>
    <row r="158" s="211" customFormat="1" x14ac:dyDescent="0.25"/>
    <row r="159" s="211" customFormat="1" x14ac:dyDescent="0.25"/>
    <row r="160" s="211" customFormat="1" x14ac:dyDescent="0.25"/>
    <row r="161" s="211" customFormat="1" x14ac:dyDescent="0.25"/>
    <row r="162" s="211" customFormat="1" x14ac:dyDescent="0.25"/>
    <row r="163" s="211" customFormat="1" x14ac:dyDescent="0.25"/>
    <row r="164" s="211" customFormat="1" x14ac:dyDescent="0.25"/>
    <row r="165" s="211" customFormat="1" x14ac:dyDescent="0.25"/>
    <row r="166" s="211" customFormat="1" x14ac:dyDescent="0.25"/>
    <row r="167" s="211" customFormat="1" x14ac:dyDescent="0.25"/>
    <row r="168" s="211" customFormat="1" x14ac:dyDescent="0.25"/>
    <row r="169" s="211" customFormat="1" x14ac:dyDescent="0.25"/>
    <row r="170" s="211" customFormat="1" x14ac:dyDescent="0.25"/>
    <row r="171" s="211" customFormat="1" x14ac:dyDescent="0.25"/>
    <row r="172" s="211" customFormat="1" x14ac:dyDescent="0.25"/>
  </sheetData>
  <mergeCells count="31">
    <mergeCell ref="D28:F28"/>
    <mergeCell ref="A14:C14"/>
    <mergeCell ref="A15:C15"/>
    <mergeCell ref="A1:D1"/>
    <mergeCell ref="A2:D2"/>
    <mergeCell ref="A4:E4"/>
    <mergeCell ref="C5:D5"/>
    <mergeCell ref="C12:D12"/>
    <mergeCell ref="C6:D6"/>
    <mergeCell ref="C8:D8"/>
    <mergeCell ref="C7:D7"/>
    <mergeCell ref="C11:D11"/>
    <mergeCell ref="C10:D10"/>
    <mergeCell ref="C9:D9"/>
    <mergeCell ref="D18:E18"/>
    <mergeCell ref="A129:D129"/>
    <mergeCell ref="A126:K126"/>
    <mergeCell ref="A17:C17"/>
    <mergeCell ref="A16:C16"/>
    <mergeCell ref="A18:B18"/>
    <mergeCell ref="A28:B28"/>
    <mergeCell ref="A38:B38"/>
    <mergeCell ref="A50:B50"/>
    <mergeCell ref="A71:B71"/>
    <mergeCell ref="A93:B93"/>
    <mergeCell ref="A103:B103"/>
    <mergeCell ref="A27:F27"/>
    <mergeCell ref="D38:F38"/>
    <mergeCell ref="A49:F49"/>
    <mergeCell ref="A70:H70"/>
    <mergeCell ref="A102:XFD102"/>
  </mergeCells>
  <dataValidations count="20">
    <dataValidation type="list" sqref="L40:L49" xr:uid="{00000000-0002-0000-0200-000000000000}">
      <formula1>duration</formula1>
    </dataValidation>
    <dataValidation type="list" sqref="L52:L70 M40:N49 F105:G125 G73:I92 E52:E69" xr:uid="{00000000-0002-0000-0200-000001000000}">
      <formula1>two</formula1>
    </dataValidation>
    <dataValidation type="list" allowBlank="1" sqref="O52:O70 Q40:Q49" xr:uid="{00000000-0002-0000-0200-000002000000}">
      <formula1>select</formula1>
    </dataValidation>
    <dataValidation type="list" sqref="E73:E92" xr:uid="{00000000-0002-0000-0200-000003000000}">
      <formula1>contract</formula1>
    </dataValidation>
    <dataValidation type="list" sqref="C52:C69" xr:uid="{00000000-0002-0000-0200-000004000000}">
      <formula1>smallpurchaseamount</formula1>
    </dataValidation>
    <dataValidation type="list" allowBlank="1" showInputMessage="1" showErrorMessage="1" sqref="F95:F101" xr:uid="{00000000-0002-0000-0200-000005000000}">
      <formula1>renewalyears</formula1>
    </dataValidation>
    <dataValidation type="list" allowBlank="1" showInputMessage="1" showErrorMessage="1" sqref="F52:F69 G95:I101" xr:uid="{00000000-0002-0000-0200-000006000000}">
      <formula1>two</formula1>
    </dataValidation>
    <dataValidation type="list" sqref="C73:C92" xr:uid="{00000000-0002-0000-0200-000007000000}">
      <formula1>formalamounts</formula1>
    </dataValidation>
    <dataValidation type="list" allowBlank="1" showInputMessage="1" showErrorMessage="1" sqref="C105:C125 C95:C101" xr:uid="{00000000-0002-0000-0200-000008000000}">
      <formula1>formalamounts</formula1>
    </dataValidation>
    <dataValidation type="list" allowBlank="1" showInputMessage="1" showErrorMessage="1" sqref="E95:E101" xr:uid="{00000000-0002-0000-0200-000009000000}">
      <formula1>typeofcontract</formula1>
    </dataValidation>
    <dataValidation type="list" allowBlank="1" showInputMessage="1" showErrorMessage="1" sqref="D95:D101" xr:uid="{00000000-0002-0000-0200-00000A000000}">
      <formula1>solicitationtypewithother</formula1>
    </dataValidation>
    <dataValidation type="list" allowBlank="1" showInputMessage="1" showErrorMessage="1" sqref="F30:F37 K95:K101 F20:F26 H52:H69 F40:F48 K73:K92 I105:I125" xr:uid="{00000000-0002-0000-0200-00000B000000}">
      <formula1>select</formula1>
    </dataValidation>
    <dataValidation allowBlank="1" sqref="D40:D48 J73:J92 J95:J101" xr:uid="{00000000-0002-0000-0200-00000C000000}"/>
    <dataValidation type="list" allowBlank="1" showInputMessage="1" showErrorMessage="1" sqref="D52:D69" xr:uid="{00000000-0002-0000-0200-00000D000000}">
      <formula1>numberofpurchases</formula1>
    </dataValidation>
    <dataValidation type="list" sqref="C40:C48" xr:uid="{00000000-0002-0000-0200-00000E000000}">
      <formula1>microamounts</formula1>
    </dataValidation>
    <dataValidation type="list" allowBlank="1" showInputMessage="1" showErrorMessage="1" sqref="E105:E125" xr:uid="{00000000-0002-0000-0200-00000F000000}">
      <formula1>processingyears</formula1>
    </dataValidation>
    <dataValidation type="list" allowBlank="1" showInputMessage="1" showErrorMessage="1" sqref="C18 C28:D28 C103 C38 C50 C71 C93 D36" xr:uid="{00000000-0002-0000-0200-000010000000}">
      <formula1>Answerstwo</formula1>
    </dataValidation>
    <dataValidation type="list" sqref="D73:D92" xr:uid="{00000000-0002-0000-0200-000011000000}">
      <formula1>solicitationtypewithother</formula1>
    </dataValidation>
    <dataValidation type="list" allowBlank="1" showInputMessage="1" showErrorMessage="1" sqref="D105:D125" xr:uid="{00000000-0002-0000-0200-000012000000}">
      <formula1>processingsolicitwithother</formula1>
    </dataValidation>
    <dataValidation type="list" allowBlank="1" showInputMessage="1" showErrorMessage="1" sqref="H105:H125" xr:uid="{00000000-0002-0000-0200-000013000000}">
      <formula1>three</formula1>
    </dataValidation>
  </dataValidations>
  <pageMargins left="0.25" right="0.25" top="0.75" bottom="0.75" header="0.3" footer="0.3"/>
  <pageSetup scale="32" orientation="landscape" r:id="rId1"/>
  <legacyDrawing r:id="rId2"/>
  <extLst>
    <ext xmlns:x14="http://schemas.microsoft.com/office/spreadsheetml/2009/9/main" uri="{CCE6A557-97BC-4b89-ADB6-D9C93CAAB3DF}">
      <x14:dataValidations xmlns:xm="http://schemas.microsoft.com/office/excel/2006/main" count="4">
        <x14:dataValidation type="list" xr:uid="{00000000-0002-0000-0200-000014000000}">
          <x14:formula1>
            <xm:f>'Data sets '!$A$79:$A$82</xm:f>
          </x14:formula1>
          <xm:sqref>F73:F92</xm:sqref>
        </x14:dataValidation>
        <x14:dataValidation type="list" allowBlank="1" showInputMessage="1" showErrorMessage="1" xr:uid="{00000000-0002-0000-0200-000015000000}">
          <x14:formula1>
            <xm:f>'Data sets '!$A$210:$A$213</xm:f>
          </x14:formula1>
          <xm:sqref>E37 D20:D26 D30:D35</xm:sqref>
        </x14:dataValidation>
        <x14:dataValidation type="list" allowBlank="1" showInputMessage="1" showErrorMessage="1" xr:uid="{00000000-0002-0000-0200-000016000000}">
          <x14:formula1>
            <xm:f>'Data sets '!$A$215:$A$218</xm:f>
          </x14:formula1>
          <xm:sqref>C30:C36 C20:C26</xm:sqref>
        </x14:dataValidation>
        <x14:dataValidation type="list" allowBlank="1" showInputMessage="1" showErrorMessage="1" xr:uid="{00000000-0002-0000-0200-000017000000}">
          <x14:formula1>
            <xm:f>'Data sets '!$A$5:$A$7</xm:f>
          </x14:formula1>
          <xm:sqref>E129</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9">
    <tabColor theme="9" tint="0.39997558519241921"/>
  </sheetPr>
  <dimension ref="A1:DB112"/>
  <sheetViews>
    <sheetView showGridLines="0" workbookViewId="0">
      <selection activeCell="A87" sqref="A87"/>
    </sheetView>
  </sheetViews>
  <sheetFormatPr defaultRowHeight="15" x14ac:dyDescent="0.25"/>
  <cols>
    <col min="1" max="1" width="153.85546875" customWidth="1"/>
  </cols>
  <sheetData>
    <row r="1" spans="1:106" ht="15.75" x14ac:dyDescent="0.25">
      <c r="A1" s="7" t="s">
        <v>40</v>
      </c>
    </row>
    <row r="2" spans="1:106" ht="15.75" x14ac:dyDescent="0.25">
      <c r="A2" s="14"/>
    </row>
    <row r="3" spans="1:106" ht="15.75" x14ac:dyDescent="0.25">
      <c r="A3" s="10" t="s">
        <v>704</v>
      </c>
    </row>
    <row r="4" spans="1:106" ht="15.75" x14ac:dyDescent="0.25">
      <c r="A4" s="1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row>
    <row r="5" spans="1:106" ht="63" x14ac:dyDescent="0.25">
      <c r="A5" s="15" t="s">
        <v>705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row>
    <row r="6" spans="1:106" ht="15.75" x14ac:dyDescent="0.25">
      <c r="A6" s="12"/>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row>
    <row r="7" spans="1:106" ht="110.25" x14ac:dyDescent="0.25">
      <c r="A7" s="8" t="s">
        <v>706</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row>
    <row r="8" spans="1:106" ht="15.75" x14ac:dyDescent="0.25">
      <c r="A8" s="8"/>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row>
    <row r="9" spans="1:106" ht="110.25" x14ac:dyDescent="0.25">
      <c r="A9" s="8" t="s">
        <v>707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row>
    <row r="10" spans="1:106" ht="15.75" x14ac:dyDescent="0.25">
      <c r="A10" s="8"/>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row>
    <row r="11" spans="1:106" ht="15.75" x14ac:dyDescent="0.25">
      <c r="A11" s="8" t="s">
        <v>45</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row>
    <row r="12" spans="1:106" ht="15.75" x14ac:dyDescent="0.25">
      <c r="A12" s="8"/>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1:106" ht="15.75" x14ac:dyDescent="0.25">
      <c r="A13" s="8" t="s">
        <v>46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row>
    <row r="14" spans="1:106" ht="15.75" x14ac:dyDescent="0.25">
      <c r="A14" s="8"/>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row>
    <row r="15" spans="1:106" ht="15.75" x14ac:dyDescent="0.25">
      <c r="A15" s="8" t="s">
        <v>47</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row>
    <row r="16" spans="1:106" ht="15.75" x14ac:dyDescent="0.25">
      <c r="A16" s="8"/>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ht="31.5" x14ac:dyDescent="0.25">
      <c r="A17" s="8" t="s">
        <v>48</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ht="15.75" x14ac:dyDescent="0.25">
      <c r="A18" s="8"/>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row>
    <row r="19" spans="1:106" ht="15.75" x14ac:dyDescent="0.25">
      <c r="A19" s="8" t="s">
        <v>708</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row>
    <row r="20" spans="1:106" ht="15.75" x14ac:dyDescent="0.25">
      <c r="A20" s="8"/>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row>
    <row r="21" spans="1:106" ht="15.75" x14ac:dyDescent="0.25">
      <c r="A21" s="8" t="s">
        <v>549</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row>
    <row r="22" spans="1:106" ht="15.75" x14ac:dyDescent="0.25">
      <c r="A22" s="8"/>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row>
    <row r="23" spans="1:106" ht="15.75" x14ac:dyDescent="0.25">
      <c r="A23" s="12" t="s">
        <v>41</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row>
    <row r="24" spans="1:106" ht="15.75" x14ac:dyDescent="0.25">
      <c r="A24" s="1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row>
    <row r="25" spans="1:106" ht="63" x14ac:dyDescent="0.25">
      <c r="A25" s="8" t="s">
        <v>709</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row>
    <row r="26" spans="1:106" ht="15.75" x14ac:dyDescent="0.25">
      <c r="A26" s="12"/>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row>
    <row r="27" spans="1:106" ht="15.75" x14ac:dyDescent="0.25">
      <c r="A27" s="8" t="s">
        <v>49</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row>
    <row r="28" spans="1:106" ht="15.75" x14ac:dyDescent="0.25">
      <c r="A28" s="8"/>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row>
    <row r="29" spans="1:106" ht="15.75" x14ac:dyDescent="0.25">
      <c r="A29" s="8" t="s">
        <v>50</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row>
    <row r="30" spans="1:106" ht="15.75" x14ac:dyDescent="0.25">
      <c r="A30" s="8"/>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row>
    <row r="31" spans="1:106" ht="173.25" x14ac:dyDescent="0.25">
      <c r="A31" s="8" t="s">
        <v>710</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row>
    <row r="32" spans="1:106" ht="15.75" x14ac:dyDescent="0.25">
      <c r="A32" s="8"/>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row>
    <row r="33" spans="1:106" ht="141.75" x14ac:dyDescent="0.25">
      <c r="A33" s="8" t="s">
        <v>711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row>
    <row r="34" spans="1:106" ht="15.75" x14ac:dyDescent="0.25">
      <c r="A34" s="8"/>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row>
    <row r="35" spans="1:106" ht="63" x14ac:dyDescent="0.25">
      <c r="A35" s="8" t="s">
        <v>712</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row>
    <row r="36" spans="1:106" ht="15.75" x14ac:dyDescent="0.25">
      <c r="A36" s="8"/>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row>
    <row r="37" spans="1:106" ht="15.75" x14ac:dyDescent="0.25">
      <c r="A37" s="8" t="s">
        <v>708</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row>
    <row r="38" spans="1:106" ht="15.75" x14ac:dyDescent="0.25">
      <c r="A38" s="8"/>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row>
    <row r="39" spans="1:106" ht="15.75" x14ac:dyDescent="0.25">
      <c r="A39" s="8" t="s">
        <v>549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row>
    <row r="40" spans="1:106" ht="15.75" x14ac:dyDescent="0.25">
      <c r="A40" s="1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row>
    <row r="41" spans="1:106" ht="15.75" x14ac:dyDescent="0.25">
      <c r="A41" s="8" t="s">
        <v>42</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row>
    <row r="42" spans="1:106" ht="15.75" x14ac:dyDescent="0.25">
      <c r="A42" s="1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row>
    <row r="43" spans="1:106" ht="15.75" x14ac:dyDescent="0.25">
      <c r="A43" s="8" t="s">
        <v>713</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row>
    <row r="44" spans="1:106" ht="15.75" x14ac:dyDescent="0.25">
      <c r="A44" s="8"/>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row>
    <row r="45" spans="1:106" ht="110.25" x14ac:dyDescent="0.25">
      <c r="A45" s="8" t="s">
        <v>714</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row>
    <row r="46" spans="1:106" ht="15.75" x14ac:dyDescent="0.25">
      <c r="A46" s="8"/>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row>
    <row r="47" spans="1:106" ht="63" x14ac:dyDescent="0.25">
      <c r="A47" s="8" t="s">
        <v>715</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row>
    <row r="48" spans="1:106" ht="15.75" x14ac:dyDescent="0.25">
      <c r="A48" s="8"/>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row>
    <row r="49" spans="1:106" ht="15.75" x14ac:dyDescent="0.25">
      <c r="A49" s="8"/>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row>
    <row r="50" spans="1:106" ht="15.75" x14ac:dyDescent="0.25">
      <c r="A50" s="1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row>
    <row r="51" spans="1:106" ht="15.75" x14ac:dyDescent="0.25">
      <c r="A51" s="8"/>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row>
    <row r="52" spans="1:106" ht="15.75" x14ac:dyDescent="0.25">
      <c r="A52" s="1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row>
    <row r="53" spans="1:106" ht="15.75" x14ac:dyDescent="0.25">
      <c r="A53" s="12" t="s">
        <v>43</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row>
    <row r="54" spans="1:106" ht="15.75" x14ac:dyDescent="0.25">
      <c r="A54" s="8"/>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row>
    <row r="55" spans="1:106" ht="47.25" x14ac:dyDescent="0.25">
      <c r="A55" s="8" t="s">
        <v>716</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row>
    <row r="56" spans="1:106" ht="15.75" x14ac:dyDescent="0.25">
      <c r="A56" s="8"/>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row>
    <row r="57" spans="1:106" ht="47.25" x14ac:dyDescent="0.25">
      <c r="A57" s="8" t="s">
        <v>51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row>
    <row r="58" spans="1:106" ht="15.75" x14ac:dyDescent="0.25">
      <c r="A58" s="8"/>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row>
    <row r="59" spans="1:106" ht="31.5" x14ac:dyDescent="0.25">
      <c r="A59" s="8" t="s">
        <v>52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row>
    <row r="60" spans="1:106" ht="15.75" x14ac:dyDescent="0.25">
      <c r="A60" s="8"/>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row>
    <row r="61" spans="1:106" ht="15.75" x14ac:dyDescent="0.25">
      <c r="A61" s="8" t="s">
        <v>53</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row>
    <row r="62" spans="1:106" ht="15.75" x14ac:dyDescent="0.25">
      <c r="A62" s="8"/>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row>
    <row r="63" spans="1:106" ht="31.5" x14ac:dyDescent="0.25">
      <c r="A63" s="8" t="s">
        <v>54</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row>
    <row r="64" spans="1:106" ht="15.75" x14ac:dyDescent="0.25">
      <c r="A64" s="8"/>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row>
    <row r="65" spans="1:106" ht="31.5" x14ac:dyDescent="0.25">
      <c r="A65" s="8" t="s">
        <v>717</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row>
    <row r="66" spans="1:106" ht="15.75" x14ac:dyDescent="0.25">
      <c r="A66" s="8"/>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row>
    <row r="67" spans="1:106" ht="31.5" x14ac:dyDescent="0.25">
      <c r="A67" s="8" t="s">
        <v>55</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row>
    <row r="68" spans="1:106" ht="15.75" x14ac:dyDescent="0.25">
      <c r="A68" s="8"/>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row>
    <row r="69" spans="1:106" ht="47.25" x14ac:dyDescent="0.25">
      <c r="A69" s="8" t="s">
        <v>56</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row>
    <row r="70" spans="1:106" ht="15.75" x14ac:dyDescent="0.25">
      <c r="A70" s="8"/>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row>
    <row r="71" spans="1:106" ht="31.5" x14ac:dyDescent="0.25">
      <c r="A71" s="8" t="s">
        <v>57</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row>
    <row r="72" spans="1:106" ht="15.75" x14ac:dyDescent="0.25">
      <c r="A72" s="8"/>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row>
    <row r="73" spans="1:106" ht="15.75" x14ac:dyDescent="0.25">
      <c r="A73" s="10" t="s">
        <v>58</v>
      </c>
    </row>
    <row r="74" spans="1:106" ht="15.75" x14ac:dyDescent="0.25">
      <c r="A74" s="8"/>
    </row>
    <row r="75" spans="1:106" ht="15.75" x14ac:dyDescent="0.25">
      <c r="A75" s="10" t="s">
        <v>59</v>
      </c>
    </row>
    <row r="76" spans="1:106" ht="15.75" x14ac:dyDescent="0.25">
      <c r="A76" s="8"/>
    </row>
    <row r="77" spans="1:106" ht="15.75" x14ac:dyDescent="0.25">
      <c r="A77" s="10" t="s">
        <v>60</v>
      </c>
    </row>
    <row r="78" spans="1:106" ht="15.75" x14ac:dyDescent="0.25">
      <c r="A78" s="8"/>
    </row>
    <row r="79" spans="1:106" ht="15.75" x14ac:dyDescent="0.25">
      <c r="A79" s="10" t="s">
        <v>61</v>
      </c>
    </row>
    <row r="80" spans="1:106" ht="15.75" x14ac:dyDescent="0.25">
      <c r="A80" s="8"/>
    </row>
    <row r="81" spans="1:1" ht="15.75" x14ac:dyDescent="0.25">
      <c r="A81" s="9" t="s">
        <v>718</v>
      </c>
    </row>
    <row r="82" spans="1:1" ht="15.75" x14ac:dyDescent="0.25">
      <c r="A82" s="14"/>
    </row>
    <row r="83" spans="1:1" ht="15.75" x14ac:dyDescent="0.25">
      <c r="A83" s="10" t="s">
        <v>708</v>
      </c>
    </row>
    <row r="84" spans="1:1" ht="15.75" x14ac:dyDescent="0.25">
      <c r="A84" s="7"/>
    </row>
    <row r="85" spans="1:1" ht="15.75" x14ac:dyDescent="0.25">
      <c r="A85" s="10"/>
    </row>
    <row r="86" spans="1:1" ht="15.75" x14ac:dyDescent="0.25">
      <c r="A86" s="8"/>
    </row>
    <row r="87" spans="1:1" ht="15.75" x14ac:dyDescent="0.25">
      <c r="A87" s="528" t="s">
        <v>44</v>
      </c>
    </row>
    <row r="88" spans="1:1" ht="15.75" x14ac:dyDescent="0.25">
      <c r="A88" s="8"/>
    </row>
    <row r="89" spans="1:1" ht="15.75" x14ac:dyDescent="0.25">
      <c r="A89" s="10" t="s">
        <v>719</v>
      </c>
    </row>
    <row r="90" spans="1:1" ht="15.75" x14ac:dyDescent="0.25">
      <c r="A90" s="8"/>
    </row>
    <row r="91" spans="1:1" ht="15.75" x14ac:dyDescent="0.25">
      <c r="A91" s="10" t="s">
        <v>62</v>
      </c>
    </row>
    <row r="92" spans="1:1" ht="15.75" x14ac:dyDescent="0.25">
      <c r="A92" s="8"/>
    </row>
    <row r="93" spans="1:1" ht="15.75" x14ac:dyDescent="0.25">
      <c r="A93" s="10" t="s">
        <v>63</v>
      </c>
    </row>
    <row r="94" spans="1:1" ht="15.75" x14ac:dyDescent="0.25">
      <c r="A94" s="8"/>
    </row>
    <row r="95" spans="1:1" ht="15.75" x14ac:dyDescent="0.25">
      <c r="A95" s="10" t="s">
        <v>64</v>
      </c>
    </row>
    <row r="96" spans="1:1" ht="15.75" x14ac:dyDescent="0.25">
      <c r="A96" s="8"/>
    </row>
    <row r="97" spans="1:1" ht="15.75" x14ac:dyDescent="0.25">
      <c r="A97" s="10" t="s">
        <v>720</v>
      </c>
    </row>
    <row r="98" spans="1:1" ht="15.75" x14ac:dyDescent="0.25">
      <c r="A98" s="8"/>
    </row>
    <row r="99" spans="1:1" ht="15.75" x14ac:dyDescent="0.25">
      <c r="A99" s="10" t="s">
        <v>65</v>
      </c>
    </row>
    <row r="100" spans="1:1" ht="15.75" x14ac:dyDescent="0.25">
      <c r="A100" s="8"/>
    </row>
    <row r="101" spans="1:1" ht="15.75" x14ac:dyDescent="0.25">
      <c r="A101" s="10" t="s">
        <v>66</v>
      </c>
    </row>
    <row r="102" spans="1:1" ht="15.75" x14ac:dyDescent="0.25">
      <c r="A102" s="8"/>
    </row>
    <row r="103" spans="1:1" ht="15.75" x14ac:dyDescent="0.25">
      <c r="A103" s="10" t="s">
        <v>67</v>
      </c>
    </row>
    <row r="104" spans="1:1" ht="15.75" x14ac:dyDescent="0.25">
      <c r="A104" s="8"/>
    </row>
    <row r="105" spans="1:1" ht="15.75" x14ac:dyDescent="0.25">
      <c r="A105" s="11" t="s">
        <v>721</v>
      </c>
    </row>
    <row r="106" spans="1:1" ht="15.75" x14ac:dyDescent="0.25">
      <c r="A106" s="11"/>
    </row>
    <row r="107" spans="1:1" ht="15.75" x14ac:dyDescent="0.25">
      <c r="A107" s="11" t="s">
        <v>722</v>
      </c>
    </row>
    <row r="108" spans="1:1" ht="15.75" x14ac:dyDescent="0.25">
      <c r="A108" s="11"/>
    </row>
    <row r="109" spans="1:1" ht="15.75" x14ac:dyDescent="0.25">
      <c r="A109" s="11"/>
    </row>
    <row r="110" spans="1:1" ht="15.75" x14ac:dyDescent="0.25">
      <c r="A110" s="11"/>
    </row>
    <row r="111" spans="1:1" ht="15.75" x14ac:dyDescent="0.25">
      <c r="A111" s="11"/>
    </row>
    <row r="112" spans="1:1" ht="15.75" x14ac:dyDescent="0.25">
      <c r="A112" s="1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L25"/>
  <sheetViews>
    <sheetView workbookViewId="0">
      <selection activeCell="C3" sqref="C3"/>
    </sheetView>
  </sheetViews>
  <sheetFormatPr defaultRowHeight="15" x14ac:dyDescent="0.25"/>
  <cols>
    <col min="1" max="1" width="21.42578125" bestFit="1" customWidth="1"/>
    <col min="3" max="3" width="14.5703125" bestFit="1" customWidth="1"/>
    <col min="5" max="5" width="18.42578125" bestFit="1" customWidth="1"/>
    <col min="7" max="7" width="16.7109375" bestFit="1" customWidth="1"/>
    <col min="9" max="9" width="9.85546875" bestFit="1" customWidth="1"/>
  </cols>
  <sheetData>
    <row r="1" spans="1:12" x14ac:dyDescent="0.25">
      <c r="A1" s="46" t="s">
        <v>339</v>
      </c>
      <c r="C1" s="46" t="s">
        <v>340</v>
      </c>
      <c r="E1" s="46" t="s">
        <v>341</v>
      </c>
      <c r="G1" s="46" t="s">
        <v>342</v>
      </c>
      <c r="I1" s="46" t="s">
        <v>343</v>
      </c>
    </row>
    <row r="2" spans="1:12" x14ac:dyDescent="0.25">
      <c r="A2" s="46"/>
      <c r="C2" s="46"/>
      <c r="E2" s="46"/>
      <c r="G2" s="46"/>
      <c r="I2" s="46"/>
    </row>
    <row r="3" spans="1:12" x14ac:dyDescent="0.25">
      <c r="A3" s="127">
        <f t="array" ref="A3">IFERROR( INDEX('SFA PROCUREMENT TABLE'!$A$40:$A$47,  SMALL( IF('SFA PROCUREMENT TABLE'!$F$40:$F$47 = "Select for Review", ROW('SFA PROCUREMENT TABLE'!$A$40:$A$47)-ROW('SFA PROCUREMENT TABLE'!$A$40)+1 ),  ROWS('SFA PROCUREMENT TABLE'!$A$40:'SFA PROCUREMENT TABLE'!A40)) ),"")</f>
        <v>0</v>
      </c>
      <c r="C3" s="127">
        <f t="array" ref="C3">IFERROR( INDEX('SFA PROCUREMENT TABLE'!$A$52:$A$69,  SMALL( IF('SFA PROCUREMENT TABLE'!$H$52:$H$69 = "Select for Review", ROW('SFA PROCUREMENT TABLE'!$A$52:$A$69)-ROW('SFA PROCUREMENT TABLE'!$A$52)+1 ),  ROWS('SFA PROCUREMENT TABLE'!$A$52:'SFA PROCUREMENT TABLE'!A52)) ),"")</f>
        <v>0</v>
      </c>
      <c r="E3" s="127">
        <f t="array" ref="E3">IFERROR( INDEX('SFA PROCUREMENT TABLE'!$A$73:$A$90,  SMALL( IF('SFA PROCUREMENT TABLE'!$K$73:$K$90 = "Select for Review", ROW('SFA PROCUREMENT TABLE'!$A$73:$A$90)-ROW('SFA PROCUREMENT TABLE'!$A$73)+1 ),  ROWS('SFA PROCUREMENT TABLE'!$A$73:'SFA PROCUREMENT TABLE'!A73)) ),"")</f>
        <v>0</v>
      </c>
      <c r="G3" s="127">
        <f t="array" ref="G3">IFERROR( INDEX('SFA PROCUREMENT TABLE'!$A$95:$A$101,  SMALL( IF('SFA PROCUREMENT TABLE'!$K$95:$K$101 = "Select for Review", ROW('SFA PROCUREMENT TABLE'!$A$95:$A$101)-ROW('SFA PROCUREMENT TABLE'!$A$95)+1 ),  ROWS('SFA PROCUREMENT TABLE'!$A$95:'SFA PROCUREMENT TABLE'!A95)) ),"")</f>
        <v>0</v>
      </c>
      <c r="I3" s="127">
        <f t="array" ref="I3">IFERROR( INDEX('SFA PROCUREMENT TABLE'!$A$105:$A$125,  SMALL( IF('SFA PROCUREMENT TABLE'!$I$105:$I$125 = "Select for Review", ROW('SFA PROCUREMENT TABLE'!$A$105:$A$125)-ROW('SFA PROCUREMENT TABLE'!$A$105)+1 ),  ROWS('SFA PROCUREMENT TABLE'!$A$105:'SFA PROCUREMENT TABLE'!A105)) ),"")</f>
        <v>0</v>
      </c>
      <c r="L3" t="s">
        <v>344</v>
      </c>
    </row>
    <row r="4" spans="1:12" x14ac:dyDescent="0.25">
      <c r="A4" s="127" t="str">
        <f t="array" ref="A4">IFERROR( INDEX('SFA PROCUREMENT TABLE'!$A$40:$A$47,  SMALL( IF('SFA PROCUREMENT TABLE'!$F$40:$F$47 = "Select for Review", ROW('SFA PROCUREMENT TABLE'!$A$40:$A$47)-ROW('SFA PROCUREMENT TABLE'!$A$40)+1 ),  ROWS('SFA PROCUREMENT TABLE'!$A$40:'SFA PROCUREMENT TABLE'!A41)) ),"")</f>
        <v/>
      </c>
      <c r="C4" s="127" t="str">
        <f t="array" ref="C4">IFERROR( INDEX('SFA PROCUREMENT TABLE'!$A$52:$A$69,  SMALL( IF('SFA PROCUREMENT TABLE'!$H$52:$H$69 = "Select for Review", ROW('SFA PROCUREMENT TABLE'!$A$52:$A$69)-ROW('SFA PROCUREMENT TABLE'!$A$52)+1 ),  ROWS('SFA PROCUREMENT TABLE'!$A$52:'SFA PROCUREMENT TABLE'!A53)) ),"")</f>
        <v/>
      </c>
      <c r="E4" s="127" t="str">
        <f t="array" ref="E4">IFERROR( INDEX('SFA PROCUREMENT TABLE'!$A$73:$A$90,  SMALL( IF('SFA PROCUREMENT TABLE'!$K$73:$K$90 = "Select for Review", ROW('SFA PROCUREMENT TABLE'!$A$73:$A$90)-ROW('SFA PROCUREMENT TABLE'!$A$73)+1 ),  ROWS('SFA PROCUREMENT TABLE'!$A$73:'SFA PROCUREMENT TABLE'!A74)) ),"")</f>
        <v/>
      </c>
      <c r="G4" s="127" t="str">
        <f t="array" ref="G4">IFERROR( INDEX('SFA PROCUREMENT TABLE'!$A$95:$A$101,  SMALL( IF('SFA PROCUREMENT TABLE'!$K$95:$K$101 = "Select for Review", ROW('SFA PROCUREMENT TABLE'!$A$95:$A$101)-ROW('SFA PROCUREMENT TABLE'!$A$95)+1 ),  ROWS('SFA PROCUREMENT TABLE'!$A$95:'SFA PROCUREMENT TABLE'!A96)) ),"")</f>
        <v/>
      </c>
      <c r="I4" s="127" t="str">
        <f t="array" ref="I4">IFERROR( INDEX('SFA PROCUREMENT TABLE'!$A$105:$A$125,  SMALL( IF('SFA PROCUREMENT TABLE'!$I$105:$I$125 = "Select for Review", ROW('SFA PROCUREMENT TABLE'!$A$105:$A$125)-ROW('SFA PROCUREMENT TABLE'!$A$105)+1 ),  ROWS('SFA PROCUREMENT TABLE'!$A$105:'SFA PROCUREMENT TABLE'!A106)) ),"")</f>
        <v/>
      </c>
      <c r="L4" t="s">
        <v>345</v>
      </c>
    </row>
    <row r="5" spans="1:12" x14ac:dyDescent="0.25">
      <c r="A5" s="127" t="str">
        <f t="array" ref="A5">IFERROR( INDEX('SFA PROCUREMENT TABLE'!$A$40:$A$47,  SMALL( IF('SFA PROCUREMENT TABLE'!$F$40:$F$47 = "Select for Review", ROW('SFA PROCUREMENT TABLE'!$A$40:$A$47)-ROW('SFA PROCUREMENT TABLE'!$A$40)+1 ),  ROWS('SFA PROCUREMENT TABLE'!$A$40:'SFA PROCUREMENT TABLE'!A42)) ),"")</f>
        <v/>
      </c>
      <c r="C5" s="127" t="str">
        <f t="array" ref="C5">IFERROR( INDEX('SFA PROCUREMENT TABLE'!$A$52:$A$69,  SMALL( IF('SFA PROCUREMENT TABLE'!$H$52:$H$69 = "Select for Review", ROW('SFA PROCUREMENT TABLE'!$A$52:$A$69)-ROW('SFA PROCUREMENT TABLE'!$A$52)+1 ),  ROWS('SFA PROCUREMENT TABLE'!$A$52:'SFA PROCUREMENT TABLE'!A54)) ),"")</f>
        <v/>
      </c>
      <c r="E5" s="127" t="str">
        <f t="array" ref="E5">IFERROR( INDEX('SFA PROCUREMENT TABLE'!$A$73:$A$90,  SMALL( IF('SFA PROCUREMENT TABLE'!$K$73:$K$90 = "Select for Review", ROW('SFA PROCUREMENT TABLE'!$A$73:$A$90)-ROW('SFA PROCUREMENT TABLE'!$A$73)+1 ),  ROWS('SFA PROCUREMENT TABLE'!$A$73:'SFA PROCUREMENT TABLE'!A75)) ),"")</f>
        <v/>
      </c>
      <c r="G5" s="127" t="str">
        <f t="array" ref="G5">IFERROR( INDEX('SFA PROCUREMENT TABLE'!$A$95:$A$101,  SMALL( IF('SFA PROCUREMENT TABLE'!$K$95:$K$101 = "Select for Review", ROW('SFA PROCUREMENT TABLE'!$A$95:$A$101)-ROW('SFA PROCUREMENT TABLE'!$A$95)+1 ),  ROWS('SFA PROCUREMENT TABLE'!$A$95:'SFA PROCUREMENT TABLE'!A97)) ),"")</f>
        <v/>
      </c>
      <c r="I5" s="127" t="str">
        <f t="array" ref="I5">IFERROR( INDEX('SFA PROCUREMENT TABLE'!$A$105:$A$125,  SMALL( IF('SFA PROCUREMENT TABLE'!$I$105:$I$125 = "Select for Review", ROW('SFA PROCUREMENT TABLE'!$A$105:$A$125)-ROW('SFA PROCUREMENT TABLE'!$A$105)+1 ),  ROWS('SFA PROCUREMENT TABLE'!$A$105:'SFA PROCUREMENT TABLE'!A107)) ),"")</f>
        <v/>
      </c>
      <c r="L5" t="s">
        <v>236</v>
      </c>
    </row>
    <row r="6" spans="1:12" x14ac:dyDescent="0.25">
      <c r="A6" s="127" t="str">
        <f t="array" ref="A6">IFERROR( INDEX('SFA PROCUREMENT TABLE'!$A$40:$A$47,  SMALL( IF('SFA PROCUREMENT TABLE'!$F$40:$F$47 = "Select for Review", ROW('SFA PROCUREMENT TABLE'!$A$40:$A$47)-ROW('SFA PROCUREMENT TABLE'!$A$40)+1 ),  ROWS('SFA PROCUREMENT TABLE'!$A$40:'SFA PROCUREMENT TABLE'!A43)) ),"")</f>
        <v/>
      </c>
      <c r="C6" s="127" t="str">
        <f t="array" ref="C6">IFERROR( INDEX('SFA PROCUREMENT TABLE'!$A$52:$A$69,  SMALL( IF('SFA PROCUREMENT TABLE'!$H$52:$H$69 = "Select for Review", ROW('SFA PROCUREMENT TABLE'!$A$52:$A$69)-ROW('SFA PROCUREMENT TABLE'!$A$52)+1 ),  ROWS('SFA PROCUREMENT TABLE'!$A$52:'SFA PROCUREMENT TABLE'!A55)) ),"")</f>
        <v/>
      </c>
      <c r="E6" s="127" t="str">
        <f t="array" ref="E6">IFERROR( INDEX('SFA PROCUREMENT TABLE'!$A$73:$A$90,  SMALL( IF('SFA PROCUREMENT TABLE'!$K$73:$K$90 = "Select for Review", ROW('SFA PROCUREMENT TABLE'!$A$73:$A$90)-ROW('SFA PROCUREMENT TABLE'!$A$73)+1 ),  ROWS('SFA PROCUREMENT TABLE'!$A$73:'SFA PROCUREMENT TABLE'!A76)) ),"")</f>
        <v/>
      </c>
      <c r="G6" s="127" t="str">
        <f t="array" ref="G6">IFERROR( INDEX('SFA PROCUREMENT TABLE'!$A$95:$A$101,  SMALL( IF('SFA PROCUREMENT TABLE'!$K$95:$K$101 = "Select for Review", ROW('SFA PROCUREMENT TABLE'!$A$95:$A$101)-ROW('SFA PROCUREMENT TABLE'!$A$95)+1 ),  ROWS('SFA PROCUREMENT TABLE'!$A$95:'SFA PROCUREMENT TABLE'!A98)) ),"")</f>
        <v/>
      </c>
      <c r="I6" s="127" t="str">
        <f t="array" ref="I6">IFERROR( INDEX('SFA PROCUREMENT TABLE'!$A$105:$A$125,  SMALL( IF('SFA PROCUREMENT TABLE'!$I$105:$I$125 = "Select for Review", ROW('SFA PROCUREMENT TABLE'!$A$105:$A$125)-ROW('SFA PROCUREMENT TABLE'!$A$105)+1 ),  ROWS('SFA PROCUREMENT TABLE'!$A$105:'SFA PROCUREMENT TABLE'!A108)) ),"")</f>
        <v/>
      </c>
    </row>
    <row r="7" spans="1:12" x14ac:dyDescent="0.25">
      <c r="A7" s="127" t="str">
        <f t="array" ref="A7">IFERROR( INDEX('SFA PROCUREMENT TABLE'!$A$40:$A$47,  SMALL( IF('SFA PROCUREMENT TABLE'!$F$40:$F$47 = "Select for Review", ROW('SFA PROCUREMENT TABLE'!$A$40:$A$47)-ROW('SFA PROCUREMENT TABLE'!$A$40)+1 ),  ROWS('SFA PROCUREMENT TABLE'!$A$40:'SFA PROCUREMENT TABLE'!A44)) ),"")</f>
        <v/>
      </c>
      <c r="C7" s="127" t="str">
        <f t="array" ref="C7">IFERROR( INDEX('SFA PROCUREMENT TABLE'!$A$52:$A$69,  SMALL( IF('SFA PROCUREMENT TABLE'!$H$52:$H$69 = "Select for Review", ROW('SFA PROCUREMENT TABLE'!$A$52:$A$69)-ROW('SFA PROCUREMENT TABLE'!$A$52)+1 ),  ROWS('SFA PROCUREMENT TABLE'!$A$52:'SFA PROCUREMENT TABLE'!A56)) ),"")</f>
        <v/>
      </c>
      <c r="E7" s="127" t="str">
        <f t="array" ref="E7">IFERROR( INDEX('SFA PROCUREMENT TABLE'!$A$73:$A$90,  SMALL( IF('SFA PROCUREMENT TABLE'!$K$73:$K$90 = "Select for Review", ROW('SFA PROCUREMENT TABLE'!$A$73:$A$90)-ROW('SFA PROCUREMENT TABLE'!$A$73)+1 ),  ROWS('SFA PROCUREMENT TABLE'!$A$73:'SFA PROCUREMENT TABLE'!A77)) ),"")</f>
        <v/>
      </c>
      <c r="G7" s="127" t="str">
        <f t="array" ref="G7">IFERROR( INDEX('SFA PROCUREMENT TABLE'!$A$95:$A$101,  SMALL( IF('SFA PROCUREMENT TABLE'!$K$95:$K$101 = "Select for Review", ROW('SFA PROCUREMENT TABLE'!$A$95:$A$101)-ROW('SFA PROCUREMENT TABLE'!$A$95)+1 ),  ROWS('SFA PROCUREMENT TABLE'!$A$95:'SFA PROCUREMENT TABLE'!A99)) ),"")</f>
        <v/>
      </c>
      <c r="I7" s="127" t="str">
        <f t="array" ref="I7">IFERROR( INDEX('SFA PROCUREMENT TABLE'!$A$105:$A$125,  SMALL( IF('SFA PROCUREMENT TABLE'!$I$105:$I$125 = "Select for Review", ROW('SFA PROCUREMENT TABLE'!$A$105:$A$125)-ROW('SFA PROCUREMENT TABLE'!$A$105)+1 ),  ROWS('SFA PROCUREMENT TABLE'!$A$105:'SFA PROCUREMENT TABLE'!A109)) ),"")</f>
        <v/>
      </c>
    </row>
    <row r="8" spans="1:12" x14ac:dyDescent="0.25">
      <c r="A8" s="127" t="str">
        <f t="array" ref="A8">IFERROR( INDEX('SFA PROCUREMENT TABLE'!$A$40:$A$47,  SMALL( IF('SFA PROCUREMENT TABLE'!$F$40:$F$47 = "Select for Review", ROW('SFA PROCUREMENT TABLE'!$A$40:$A$47)-ROW('SFA PROCUREMENT TABLE'!$A$40)+1 ),  ROWS('SFA PROCUREMENT TABLE'!$A$40:'SFA PROCUREMENT TABLE'!A45)) ),"")</f>
        <v/>
      </c>
      <c r="C8" s="127" t="str">
        <f t="array" ref="C8">IFERROR( INDEX('SFA PROCUREMENT TABLE'!$A$52:$A$69,  SMALL( IF('SFA PROCUREMENT TABLE'!$H$52:$H$69 = "Select for Review", ROW('SFA PROCUREMENT TABLE'!$A$52:$A$69)-ROW('SFA PROCUREMENT TABLE'!$A$52)+1 ),  ROWS('SFA PROCUREMENT TABLE'!$A$52:'SFA PROCUREMENT TABLE'!A57)) ),"")</f>
        <v/>
      </c>
      <c r="E8" s="127" t="str">
        <f t="array" ref="E8">IFERROR( INDEX('SFA PROCUREMENT TABLE'!$A$73:$A$90,  SMALL( IF('SFA PROCUREMENT TABLE'!$K$73:$K$90 = "Select for Review", ROW('SFA PROCUREMENT TABLE'!$A$73:$A$90)-ROW('SFA PROCUREMENT TABLE'!$A$73)+1 ),  ROWS('SFA PROCUREMENT TABLE'!$A$73:'SFA PROCUREMENT TABLE'!A78)) ),"")</f>
        <v/>
      </c>
      <c r="G8" s="127" t="str">
        <f t="array" ref="G8">IFERROR( INDEX('SFA PROCUREMENT TABLE'!$A$95:$A$101,  SMALL( IF('SFA PROCUREMENT TABLE'!$K$95:$K$101 = "Select for Review", ROW('SFA PROCUREMENT TABLE'!$A$95:$A$101)-ROW('SFA PROCUREMENT TABLE'!$A$95)+1 ),  ROWS('SFA PROCUREMENT TABLE'!$A$95:'SFA PROCUREMENT TABLE'!A100)) ),"")</f>
        <v/>
      </c>
      <c r="I8" s="127" t="str">
        <f t="array" ref="I8">IFERROR( INDEX('SFA PROCUREMENT TABLE'!$A$105:$A$125,  SMALL( IF('SFA PROCUREMENT TABLE'!$I$105:$I$125 = "Select for Review", ROW('SFA PROCUREMENT TABLE'!$A$105:$A$125)-ROW('SFA PROCUREMENT TABLE'!$A$105)+1 ),  ROWS('SFA PROCUREMENT TABLE'!$A$105:'SFA PROCUREMENT TABLE'!A110)) ),"")</f>
        <v/>
      </c>
    </row>
    <row r="9" spans="1:12" x14ac:dyDescent="0.25">
      <c r="A9" s="127" t="str">
        <f t="array" ref="A9">IFERROR( INDEX('SFA PROCUREMENT TABLE'!$A$40:$A$47,  SMALL( IF('SFA PROCUREMENT TABLE'!$F$40:$F$47 = "Select for Review", ROW('SFA PROCUREMENT TABLE'!$A$40:$A$47)-ROW('SFA PROCUREMENT TABLE'!$A$40)+1 ),  ROWS('SFA PROCUREMENT TABLE'!$A$40:'SFA PROCUREMENT TABLE'!A46)) ),"")</f>
        <v/>
      </c>
      <c r="C9" s="127" t="str">
        <f t="array" ref="C9">IFERROR( INDEX('SFA PROCUREMENT TABLE'!$A$52:$A$69,  SMALL( IF('SFA PROCUREMENT TABLE'!$H$52:$H$69 = "Select for Review", ROW('SFA PROCUREMENT TABLE'!$A$52:$A$69)-ROW('SFA PROCUREMENT TABLE'!$A$52)+1 ),  ROWS('SFA PROCUREMENT TABLE'!$A$52:'SFA PROCUREMENT TABLE'!A58)) ),"")</f>
        <v/>
      </c>
      <c r="E9" s="127" t="str">
        <f t="array" ref="E9">IFERROR( INDEX('SFA PROCUREMENT TABLE'!$A$73:$A$90,  SMALL( IF('SFA PROCUREMENT TABLE'!$K$73:$K$90 = "Select for Review", ROW('SFA PROCUREMENT TABLE'!$A$73:$A$90)-ROW('SFA PROCUREMENT TABLE'!$A$73)+1 ),  ROWS('SFA PROCUREMENT TABLE'!$A$73:'SFA PROCUREMENT TABLE'!A79)) ),"")</f>
        <v/>
      </c>
      <c r="G9" s="127" t="str">
        <f t="array" ref="G9">IFERROR( INDEX('SFA PROCUREMENT TABLE'!$A$95:$A$101,  SMALL( IF('SFA PROCUREMENT TABLE'!$K$95:$K$101 = "Select for Review", ROW('SFA PROCUREMENT TABLE'!$A$95:$A$101)-ROW('SFA PROCUREMENT TABLE'!$A$95)+1 ),  ROWS('SFA PROCUREMENT TABLE'!$A$95:'SFA PROCUREMENT TABLE'!A101)) ),"")</f>
        <v/>
      </c>
      <c r="I9" s="127" t="str">
        <f t="array" ref="I9">IFERROR( INDEX('SFA PROCUREMENT TABLE'!$A$105:$A$125,  SMALL( IF('SFA PROCUREMENT TABLE'!$I$105:$I$125 = "Select for Review", ROW('SFA PROCUREMENT TABLE'!$A$105:$A$125)-ROW('SFA PROCUREMENT TABLE'!$A$105)+1 ),  ROWS('SFA PROCUREMENT TABLE'!$A$105:'SFA PROCUREMENT TABLE'!A111)) ),"")</f>
        <v/>
      </c>
    </row>
    <row r="10" spans="1:12" x14ac:dyDescent="0.25">
      <c r="A10" s="127" t="str">
        <f t="array" ref="A10">IFERROR( INDEX('SFA PROCUREMENT TABLE'!$A$40:$A$47,  SMALL( IF('SFA PROCUREMENT TABLE'!$F$40:$F$47 = "Select for Review", ROW('SFA PROCUREMENT TABLE'!$A$40:$A$47)-ROW('SFA PROCUREMENT TABLE'!$A$40)+1 ),  ROWS('SFA PROCUREMENT TABLE'!$A$40:'SFA PROCUREMENT TABLE'!A47)) ),"")</f>
        <v/>
      </c>
      <c r="C10" s="127" t="str">
        <f t="array" ref="C10">IFERROR( INDEX('SFA PROCUREMENT TABLE'!$A$52:$A$69,  SMALL( IF('SFA PROCUREMENT TABLE'!$H$52:$H$69 = "Select for Review", ROW('SFA PROCUREMENT TABLE'!$A$52:$A$69)-ROW('SFA PROCUREMENT TABLE'!$A$52)+1 ),  ROWS('SFA PROCUREMENT TABLE'!$A$52:'SFA PROCUREMENT TABLE'!A59)) ),"")</f>
        <v/>
      </c>
      <c r="E10" s="127" t="str">
        <f t="array" ref="E10">IFERROR( INDEX('SFA PROCUREMENT TABLE'!$A$73:$A$90,  SMALL( IF('SFA PROCUREMENT TABLE'!$K$73:$K$90 = "Select for Review", ROW('SFA PROCUREMENT TABLE'!$A$73:$A$90)-ROW('SFA PROCUREMENT TABLE'!$A$73)+1 ),  ROWS('SFA PROCUREMENT TABLE'!$A$73:'SFA PROCUREMENT TABLE'!A80)) ),"")</f>
        <v/>
      </c>
      <c r="I10" s="127" t="str">
        <f t="array" ref="I10">IFERROR( INDEX('SFA PROCUREMENT TABLE'!$A$105:$A$125,  SMALL( IF('SFA PROCUREMENT TABLE'!$I$105:$I$125 = "Select for Review", ROW('SFA PROCUREMENT TABLE'!$A$105:$A$125)-ROW('SFA PROCUREMENT TABLE'!$A$105)+1 ),  ROWS('SFA PROCUREMENT TABLE'!$A$105:'SFA PROCUREMENT TABLE'!A112)) ),"")</f>
        <v/>
      </c>
    </row>
    <row r="11" spans="1:12" x14ac:dyDescent="0.25">
      <c r="C11" s="127" t="str">
        <f t="array" ref="C11">IFERROR( INDEX('SFA PROCUREMENT TABLE'!$A$52:$A$69,  SMALL( IF('SFA PROCUREMENT TABLE'!$H$52:$H$69 = "Select for Review", ROW('SFA PROCUREMENT TABLE'!$A$52:$A$69)-ROW('SFA PROCUREMENT TABLE'!$A$52)+1 ),  ROWS('SFA PROCUREMENT TABLE'!$A$52:'SFA PROCUREMENT TABLE'!A60)) ),"")</f>
        <v/>
      </c>
      <c r="E11" s="127" t="str">
        <f t="array" ref="E11">IFERROR( INDEX('SFA PROCUREMENT TABLE'!$A$73:$A$90,  SMALL( IF('SFA PROCUREMENT TABLE'!$K$73:$K$90 = "Select for Review", ROW('SFA PROCUREMENT TABLE'!$A$73:$A$90)-ROW('SFA PROCUREMENT TABLE'!$A$73)+1 ),  ROWS('SFA PROCUREMENT TABLE'!$A$73:'SFA PROCUREMENT TABLE'!A81)) ),"")</f>
        <v/>
      </c>
      <c r="I11" s="127" t="str">
        <f t="array" ref="I11">IFERROR( INDEX('SFA PROCUREMENT TABLE'!$A$105:$A$125,  SMALL( IF('SFA PROCUREMENT TABLE'!$I$105:$I$125 = "Select for Review", ROW('SFA PROCUREMENT TABLE'!$A$105:$A$125)-ROW('SFA PROCUREMENT TABLE'!$A$105)+1 ),  ROWS('SFA PROCUREMENT TABLE'!$A$105:'SFA PROCUREMENT TABLE'!A113)) ),"")</f>
        <v/>
      </c>
    </row>
    <row r="12" spans="1:12" x14ac:dyDescent="0.25">
      <c r="A12">
        <v>4</v>
      </c>
      <c r="C12" s="127" t="str">
        <f t="array" ref="C12">IFERROR( INDEX('SFA PROCUREMENT TABLE'!$A$52:$A$69,  SMALL( IF('SFA PROCUREMENT TABLE'!$H$52:$H$69 = "Select for Review", ROW('SFA PROCUREMENT TABLE'!$A$52:$A$69)-ROW('SFA PROCUREMENT TABLE'!$A$52)+1 ),  ROWS('SFA PROCUREMENT TABLE'!$A$52:'SFA PROCUREMENT TABLE'!A61)) ),"")</f>
        <v/>
      </c>
      <c r="E12" s="127" t="str">
        <f t="array" ref="E12">IFERROR( INDEX('SFA PROCUREMENT TABLE'!$A$73:$A$90,  SMALL( IF('SFA PROCUREMENT TABLE'!$K$73:$K$90 = "Select for Review", ROW('SFA PROCUREMENT TABLE'!$A$73:$A$90)-ROW('SFA PROCUREMENT TABLE'!$A$73)+1 ),  ROWS('SFA PROCUREMENT TABLE'!$A$73:'SFA PROCUREMENT TABLE'!A82)) ),"")</f>
        <v/>
      </c>
      <c r="I12" s="127" t="str">
        <f t="array" ref="I12">IFERROR( INDEX('SFA PROCUREMENT TABLE'!$A$105:$A$125,  SMALL( IF('SFA PROCUREMENT TABLE'!$I$105:$I$125 = "Select for Review", ROW('SFA PROCUREMENT TABLE'!$A$105:$A$125)-ROW('SFA PROCUREMENT TABLE'!$A$105)+1 ),  ROWS('SFA PROCUREMENT TABLE'!$A$105:'SFA PROCUREMENT TABLE'!A114)) ),"")</f>
        <v/>
      </c>
    </row>
    <row r="13" spans="1:12" x14ac:dyDescent="0.25">
      <c r="C13" s="127" t="str">
        <f t="array" ref="C13">IFERROR( INDEX('SFA PROCUREMENT TABLE'!$A$52:$A$69,  SMALL( IF('SFA PROCUREMENT TABLE'!$H$52:$H$69 = "Select for Review", ROW('SFA PROCUREMENT TABLE'!$A$52:$A$69)-ROW('SFA PROCUREMENT TABLE'!$A$52)+1 ),  ROWS('SFA PROCUREMENT TABLE'!$A$52:'SFA PROCUREMENT TABLE'!A62)) ),"")</f>
        <v/>
      </c>
      <c r="E13" s="127" t="str">
        <f t="array" ref="E13">IFERROR( INDEX('SFA PROCUREMENT TABLE'!$A$73:$A$90,  SMALL( IF('SFA PROCUREMENT TABLE'!$K$73:$K$90 = "Select for Review", ROW('SFA PROCUREMENT TABLE'!$A$73:$A$90)-ROW('SFA PROCUREMENT TABLE'!$A$73)+1 ),  ROWS('SFA PROCUREMENT TABLE'!$A$73:'SFA PROCUREMENT TABLE'!A83)) ),"")</f>
        <v/>
      </c>
      <c r="I13" s="127" t="str">
        <f t="array" ref="I13">IFERROR( INDEX('SFA PROCUREMENT TABLE'!$A$105:$A$125,  SMALL( IF('SFA PROCUREMENT TABLE'!$I$105:$I$125 = "Select for Review", ROW('SFA PROCUREMENT TABLE'!$A$105:$A$125)-ROW('SFA PROCUREMENT TABLE'!$A$105)+1 ),  ROWS('SFA PROCUREMENT TABLE'!$A$105:'SFA PROCUREMENT TABLE'!A115)) ),"")</f>
        <v/>
      </c>
    </row>
    <row r="14" spans="1:12" x14ac:dyDescent="0.25">
      <c r="C14" s="127" t="str">
        <f t="array" ref="C14">IFERROR( INDEX('SFA PROCUREMENT TABLE'!$A$52:$A$69,  SMALL( IF('SFA PROCUREMENT TABLE'!$H$52:$H$69 = "Select for Review", ROW('SFA PROCUREMENT TABLE'!$A$52:$A$69)-ROW('SFA PROCUREMENT TABLE'!$A$52)+1 ),  ROWS('SFA PROCUREMENT TABLE'!$A$52:'SFA PROCUREMENT TABLE'!A63)) ),"")</f>
        <v/>
      </c>
      <c r="E14" s="127" t="str">
        <f t="array" ref="E14">IFERROR( INDEX('SFA PROCUREMENT TABLE'!$A$73:$A$90,  SMALL( IF('SFA PROCUREMENT TABLE'!$K$73:$K$90 = "Select for Review", ROW('SFA PROCUREMENT TABLE'!$A$73:$A$90)-ROW('SFA PROCUREMENT TABLE'!$A$73)+1 ),  ROWS('SFA PROCUREMENT TABLE'!$A$73:'SFA PROCUREMENT TABLE'!A84)) ),"")</f>
        <v/>
      </c>
      <c r="I14" s="127" t="str">
        <f t="array" ref="I14">IFERROR( INDEX('SFA PROCUREMENT TABLE'!$A$105:$A$125,  SMALL( IF('SFA PROCUREMENT TABLE'!$I$105:$I$125 = "Select for Review", ROW('SFA PROCUREMENT TABLE'!$A$105:$A$125)-ROW('SFA PROCUREMENT TABLE'!$A$105)+1 ),  ROWS('SFA PROCUREMENT TABLE'!$A$105:'SFA PROCUREMENT TABLE'!A116)) ),"")</f>
        <v/>
      </c>
    </row>
    <row r="15" spans="1:12" x14ac:dyDescent="0.25">
      <c r="C15" s="127" t="str">
        <f t="array" ref="C15">IFERROR( INDEX('SFA PROCUREMENT TABLE'!$A$52:$A$69,  SMALL( IF('SFA PROCUREMENT TABLE'!$H$52:$H$69 = "Select for Review", ROW('SFA PROCUREMENT TABLE'!$A$52:$A$69)-ROW('SFA PROCUREMENT TABLE'!$A$52)+1 ),  ROWS('SFA PROCUREMENT TABLE'!$A$52:'SFA PROCUREMENT TABLE'!A64)) ),"")</f>
        <v/>
      </c>
      <c r="E15" s="127" t="str">
        <f t="array" ref="E15">IFERROR( INDEX('SFA PROCUREMENT TABLE'!$A$73:$A$90,  SMALL( IF('SFA PROCUREMENT TABLE'!$K$73:$K$90 = "Select for Review", ROW('SFA PROCUREMENT TABLE'!$A$73:$A$90)-ROW('SFA PROCUREMENT TABLE'!$A$73)+1 ),  ROWS('SFA PROCUREMENT TABLE'!$A$73:'SFA PROCUREMENT TABLE'!A85)) ),"")</f>
        <v/>
      </c>
      <c r="I15" s="127" t="str">
        <f t="array" ref="I15">IFERROR( INDEX('SFA PROCUREMENT TABLE'!$A$105:$A$125,  SMALL( IF('SFA PROCUREMENT TABLE'!$I$105:$I$125 = "Select for Review", ROW('SFA PROCUREMENT TABLE'!$A$105:$A$125)-ROW('SFA PROCUREMENT TABLE'!$A$105)+1 ),  ROWS('SFA PROCUREMENT TABLE'!$A$105:'SFA PROCUREMENT TABLE'!A117)) ),"")</f>
        <v/>
      </c>
    </row>
    <row r="16" spans="1:12" x14ac:dyDescent="0.25">
      <c r="C16" s="127" t="str">
        <f t="array" ref="C16">IFERROR( INDEX('SFA PROCUREMENT TABLE'!$A$52:$A$69,  SMALL( IF('SFA PROCUREMENT TABLE'!$H$52:$H$69 = "Select for Review", ROW('SFA PROCUREMENT TABLE'!$A$52:$A$69)-ROW('SFA PROCUREMENT TABLE'!$A$52)+1 ),  ROWS('SFA PROCUREMENT TABLE'!$A$52:'SFA PROCUREMENT TABLE'!A65)) ),"")</f>
        <v/>
      </c>
      <c r="E16" s="127" t="str">
        <f t="array" ref="E16">IFERROR( INDEX('SFA PROCUREMENT TABLE'!$A$73:$A$90,  SMALL( IF('SFA PROCUREMENT TABLE'!$K$73:$K$90 = "Select for Review", ROW('SFA PROCUREMENT TABLE'!$A$73:$A$90)-ROW('SFA PROCUREMENT TABLE'!$A$73)+1 ),  ROWS('SFA PROCUREMENT TABLE'!$A$73:'SFA PROCUREMENT TABLE'!A86)) ),"")</f>
        <v/>
      </c>
      <c r="I16" s="127" t="str">
        <f t="array" ref="I16">IFERROR( INDEX('SFA PROCUREMENT TABLE'!$A$105:$A$125,  SMALL( IF('SFA PROCUREMENT TABLE'!$I$105:$I$125 = "Select for Review", ROW('SFA PROCUREMENT TABLE'!$A$105:$A$125)-ROW('SFA PROCUREMENT TABLE'!$A$105)+1 ),  ROWS('SFA PROCUREMENT TABLE'!$A$105:'SFA PROCUREMENT TABLE'!A118)) ),"")</f>
        <v/>
      </c>
    </row>
    <row r="17" spans="3:9" x14ac:dyDescent="0.25">
      <c r="C17" s="127" t="str">
        <f t="array" ref="C17">IFERROR( INDEX('SFA PROCUREMENT TABLE'!$A$52:$A$69,  SMALL( IF('SFA PROCUREMENT TABLE'!$H$52:$H$69 = "Select for Review", ROW('SFA PROCUREMENT TABLE'!$A$52:$A$69)-ROW('SFA PROCUREMENT TABLE'!$A$52)+1 ),  ROWS('SFA PROCUREMENT TABLE'!$A$52:'SFA PROCUREMENT TABLE'!A66)) ),"")</f>
        <v/>
      </c>
      <c r="E17" s="127" t="str">
        <f t="array" ref="E17">IFERROR( INDEX('SFA PROCUREMENT TABLE'!$A$73:$A$90,  SMALL( IF('SFA PROCUREMENT TABLE'!$K$73:$K$90 = "Select for Review", ROW('SFA PROCUREMENT TABLE'!$A$73:$A$90)-ROW('SFA PROCUREMENT TABLE'!$A$73)+1 ),  ROWS('SFA PROCUREMENT TABLE'!$A$73:'SFA PROCUREMENT TABLE'!A87)) ),"")</f>
        <v/>
      </c>
      <c r="I17" s="127" t="str">
        <f t="array" ref="I17">IFERROR( INDEX('SFA PROCUREMENT TABLE'!$A$105:$A$125,  SMALL( IF('SFA PROCUREMENT TABLE'!$I$105:$I$125 = "Select for Review", ROW('SFA PROCUREMENT TABLE'!$A$105:$A$125)-ROW('SFA PROCUREMENT TABLE'!$A$105)+1 ),  ROWS('SFA PROCUREMENT TABLE'!$A$105:'SFA PROCUREMENT TABLE'!A119)) ),"")</f>
        <v/>
      </c>
    </row>
    <row r="18" spans="3:9" x14ac:dyDescent="0.25">
      <c r="C18" s="127" t="str">
        <f t="array" ref="C18">IFERROR( INDEX('SFA PROCUREMENT TABLE'!$A$52:$A$69,  SMALL( IF('SFA PROCUREMENT TABLE'!$H$52:$H$69 = "Select for Review", ROW('SFA PROCUREMENT TABLE'!$A$52:$A$69)-ROW('SFA PROCUREMENT TABLE'!$A$52)+1 ),  ROWS('SFA PROCUREMENT TABLE'!$A$52:'SFA PROCUREMENT TABLE'!A67)) ),"")</f>
        <v/>
      </c>
      <c r="E18" s="127" t="str">
        <f t="array" ref="E18">IFERROR( INDEX('SFA PROCUREMENT TABLE'!$A$73:$A$90,  SMALL( IF('SFA PROCUREMENT TABLE'!$K$73:$K$90 = "Select for Review", ROW('SFA PROCUREMENT TABLE'!$A$73:$A$90)-ROW('SFA PROCUREMENT TABLE'!$A$73)+1 ),  ROWS('SFA PROCUREMENT TABLE'!$A$73:'SFA PROCUREMENT TABLE'!A88)) ),"")</f>
        <v/>
      </c>
      <c r="I18" s="127" t="str">
        <f t="array" ref="I18">IFERROR( INDEX('SFA PROCUREMENT TABLE'!$A$105:$A$125,  SMALL( IF('SFA PROCUREMENT TABLE'!$I$105:$I$125 = "Select for Review", ROW('SFA PROCUREMENT TABLE'!$A$105:$A$125)-ROW('SFA PROCUREMENT TABLE'!$A$105)+1 ),  ROWS('SFA PROCUREMENT TABLE'!$A$105:'SFA PROCUREMENT TABLE'!A120)) ),"")</f>
        <v/>
      </c>
    </row>
    <row r="19" spans="3:9" x14ac:dyDescent="0.25">
      <c r="C19" s="127" t="str">
        <f t="array" ref="C19">IFERROR( INDEX('SFA PROCUREMENT TABLE'!$A$52:$A$69,  SMALL( IF('SFA PROCUREMENT TABLE'!$H$52:$H$69 = "Select for Review", ROW('SFA PROCUREMENT TABLE'!$A$52:$A$69)-ROW('SFA PROCUREMENT TABLE'!$A$52)+1 ),  ROWS('SFA PROCUREMENT TABLE'!$A$52:'SFA PROCUREMENT TABLE'!A68)) ),"")</f>
        <v/>
      </c>
      <c r="E19" s="127" t="str">
        <f t="array" ref="E19">IFERROR( INDEX('SFA PROCUREMENT TABLE'!$A$73:$A$90,  SMALL( IF('SFA PROCUREMENT TABLE'!$K$73:$K$90 = "Select for Review", ROW('SFA PROCUREMENT TABLE'!$A$73:$A$90)-ROW('SFA PROCUREMENT TABLE'!$A$73)+1 ),  ROWS('SFA PROCUREMENT TABLE'!$A$73:'SFA PROCUREMENT TABLE'!A89)) ),"")</f>
        <v/>
      </c>
      <c r="I19" s="127" t="str">
        <f t="array" ref="I19">IFERROR( INDEX('SFA PROCUREMENT TABLE'!$A$105:$A$125,  SMALL( IF('SFA PROCUREMENT TABLE'!$I$105:$I$125 = "Select for Review", ROW('SFA PROCUREMENT TABLE'!$A$105:$A$125)-ROW('SFA PROCUREMENT TABLE'!$A$105)+1 ),  ROWS('SFA PROCUREMENT TABLE'!$A$105:'SFA PROCUREMENT TABLE'!A121)) ),"")</f>
        <v/>
      </c>
    </row>
    <row r="20" spans="3:9" x14ac:dyDescent="0.25">
      <c r="C20" s="127" t="str">
        <f t="array" ref="C20">IFERROR( INDEX('SFA PROCUREMENT TABLE'!$A$52:$A$69,  SMALL( IF('SFA PROCUREMENT TABLE'!$H$52:$H$69 = "Select for Review", ROW('SFA PROCUREMENT TABLE'!$A$52:$A$69)-ROW('SFA PROCUREMENT TABLE'!$A$52)+1 ),  ROWS('SFA PROCUREMENT TABLE'!$A$52:'SFA PROCUREMENT TABLE'!A69)) ),"")</f>
        <v/>
      </c>
      <c r="E20" s="127" t="str">
        <f t="array" ref="E20">IFERROR( INDEX('SFA PROCUREMENT TABLE'!$A$73:$A$90,  SMALL( IF('SFA PROCUREMENT TABLE'!$K$73:$K$90 = "Select for Review", ROW('SFA PROCUREMENT TABLE'!$A$73:$A$90)-ROW('SFA PROCUREMENT TABLE'!$A$73)+1 ),  ROWS('SFA PROCUREMENT TABLE'!$A$73:'SFA PROCUREMENT TABLE'!A90)) ),"")</f>
        <v/>
      </c>
      <c r="I20" s="127" t="str">
        <f t="array" ref="I20">IFERROR( INDEX('SFA PROCUREMENT TABLE'!$A$105:$A$125,  SMALL( IF('SFA PROCUREMENT TABLE'!$I$105:$I$125 = "Select for Review", ROW('SFA PROCUREMENT TABLE'!$A$105:$A$125)-ROW('SFA PROCUREMENT TABLE'!$A$105)+1 ),  ROWS('SFA PROCUREMENT TABLE'!$A$105:'SFA PROCUREMENT TABLE'!A122)) ),"")</f>
        <v/>
      </c>
    </row>
    <row r="21" spans="3:9" x14ac:dyDescent="0.25">
      <c r="I21" s="127" t="str">
        <f t="array" ref="I21">IFERROR( INDEX('SFA PROCUREMENT TABLE'!$A$105:$A$125,  SMALL( IF('SFA PROCUREMENT TABLE'!$I$105:$I$125 = "Select for Review", ROW('SFA PROCUREMENT TABLE'!$A$105:$A$125)-ROW('SFA PROCUREMENT TABLE'!$A$105)+1 ),  ROWS('SFA PROCUREMENT TABLE'!$A$105:'SFA PROCUREMENT TABLE'!A123)) ),"")</f>
        <v/>
      </c>
    </row>
    <row r="22" spans="3:9" x14ac:dyDescent="0.25">
      <c r="C22">
        <v>6</v>
      </c>
      <c r="E22">
        <v>6</v>
      </c>
      <c r="G22">
        <v>6</v>
      </c>
      <c r="I22" s="127" t="str">
        <f t="array" ref="I22">IFERROR( INDEX('SFA PROCUREMENT TABLE'!$A$105:$A$125,  SMALL( IF('SFA PROCUREMENT TABLE'!$I$105:$I$125 = "Select for Review", ROW('SFA PROCUREMENT TABLE'!$A$105:$A$125)-ROW('SFA PROCUREMENT TABLE'!$A$105)+1 ),  ROWS('SFA PROCUREMENT TABLE'!$A$105:'SFA PROCUREMENT TABLE'!A124)) ),"")</f>
        <v/>
      </c>
    </row>
    <row r="23" spans="3:9" x14ac:dyDescent="0.25">
      <c r="I23" s="127" t="str">
        <f t="array" ref="I23">IFERROR( INDEX('SFA PROCUREMENT TABLE'!$A$105:$A$125,  SMALL( IF('SFA PROCUREMENT TABLE'!$I$105:$I$125 = "Select for Review", ROW('SFA PROCUREMENT TABLE'!$A$105:$A$125)-ROW('SFA PROCUREMENT TABLE'!$A$105)+1 ),  ROWS('SFA PROCUREMENT TABLE'!$A$105:'SFA PROCUREMENT TABLE'!A125)) ),"")</f>
        <v/>
      </c>
    </row>
    <row r="25" spans="3:9" x14ac:dyDescent="0.25">
      <c r="I25">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00"/>
  </sheetPr>
  <dimension ref="B1:V39"/>
  <sheetViews>
    <sheetView tabSelected="1" zoomScaleNormal="100" workbookViewId="0">
      <selection activeCell="B25" sqref="B25"/>
    </sheetView>
  </sheetViews>
  <sheetFormatPr defaultColWidth="9.140625" defaultRowHeight="15.75" x14ac:dyDescent="0.25"/>
  <cols>
    <col min="1" max="1" width="2.7109375" style="11" customWidth="1"/>
    <col min="2" max="2" width="85.42578125" style="11" customWidth="1"/>
    <col min="3" max="3" width="17.7109375" style="11" customWidth="1"/>
    <col min="4" max="5" width="17.42578125" style="11" customWidth="1"/>
    <col min="6" max="6" width="7" style="1" customWidth="1"/>
    <col min="7" max="10" width="9.140625" style="1"/>
    <col min="11" max="11" width="9.42578125" style="1" customWidth="1"/>
    <col min="12" max="22" width="9.140625" style="1"/>
    <col min="23" max="16384" width="9.140625" style="11"/>
  </cols>
  <sheetData>
    <row r="1" spans="2:16" ht="39.75" customHeight="1" thickBot="1" x14ac:dyDescent="0.3">
      <c r="B1" s="669" t="str">
        <f>'SFA PROCUREMENT TABLE'!$A$1:$D$1&amp;" - "&amp;"Procurement Selection Chart"</f>
        <v xml:space="preserve"> - Procurement Selection Chart</v>
      </c>
      <c r="C1" s="670"/>
      <c r="D1" s="670"/>
      <c r="E1" s="671"/>
      <c r="G1" s="652" t="s">
        <v>924</v>
      </c>
      <c r="H1" s="653"/>
      <c r="I1" s="653"/>
      <c r="J1" s="653"/>
      <c r="K1" s="653"/>
      <c r="L1" s="653"/>
      <c r="M1" s="653"/>
      <c r="N1" s="653"/>
      <c r="O1" s="653"/>
      <c r="P1" s="654"/>
    </row>
    <row r="2" spans="2:16" ht="72.75" customHeight="1" thickBot="1" x14ac:dyDescent="0.3">
      <c r="B2" s="361" t="s">
        <v>0</v>
      </c>
      <c r="C2" s="365" t="s">
        <v>422</v>
      </c>
      <c r="D2" s="366" t="s">
        <v>425</v>
      </c>
      <c r="E2" s="367" t="s">
        <v>423</v>
      </c>
      <c r="G2" s="655"/>
      <c r="H2" s="656"/>
      <c r="I2" s="656"/>
      <c r="J2" s="656"/>
      <c r="K2" s="656"/>
      <c r="L2" s="656"/>
      <c r="M2" s="656"/>
      <c r="N2" s="656"/>
      <c r="O2" s="656"/>
      <c r="P2" s="657"/>
    </row>
    <row r="3" spans="2:16" ht="24.75" customHeight="1" x14ac:dyDescent="0.25">
      <c r="B3" s="327" t="s">
        <v>517</v>
      </c>
      <c r="C3" s="341">
        <f>COUNTA('SFA PROCUREMENT TABLE'!$A$40:$A$47)</f>
        <v>0</v>
      </c>
      <c r="D3" s="350"/>
      <c r="E3" s="345"/>
      <c r="G3" s="655"/>
      <c r="H3" s="656"/>
      <c r="I3" s="656"/>
      <c r="J3" s="656"/>
      <c r="K3" s="656"/>
      <c r="L3" s="656"/>
      <c r="M3" s="656"/>
      <c r="N3" s="656"/>
      <c r="O3" s="656"/>
      <c r="P3" s="657"/>
    </row>
    <row r="4" spans="2:16" ht="22.5" customHeight="1" x14ac:dyDescent="0.25">
      <c r="B4" s="267" t="s">
        <v>773</v>
      </c>
      <c r="C4" s="263"/>
      <c r="D4" s="351" t="s">
        <v>252</v>
      </c>
      <c r="E4" s="522">
        <v>3</v>
      </c>
      <c r="G4" s="655"/>
      <c r="H4" s="656"/>
      <c r="I4" s="656"/>
      <c r="J4" s="656"/>
      <c r="K4" s="656"/>
      <c r="L4" s="656"/>
      <c r="M4" s="656"/>
      <c r="N4" s="656"/>
      <c r="O4" s="656"/>
      <c r="P4" s="657"/>
    </row>
    <row r="5" spans="2:16" ht="22.5" customHeight="1" thickBot="1" x14ac:dyDescent="0.3">
      <c r="B5" s="342" t="s">
        <v>510</v>
      </c>
      <c r="C5" s="342"/>
      <c r="D5" s="352"/>
      <c r="E5" s="346"/>
      <c r="G5" s="658"/>
      <c r="H5" s="659"/>
      <c r="I5" s="659"/>
      <c r="J5" s="659"/>
      <c r="K5" s="659"/>
      <c r="L5" s="659"/>
      <c r="M5" s="659"/>
      <c r="N5" s="659"/>
      <c r="O5" s="659"/>
      <c r="P5" s="660"/>
    </row>
    <row r="6" spans="2:16" ht="36.75" customHeight="1" x14ac:dyDescent="0.25">
      <c r="B6" s="328" t="s">
        <v>518</v>
      </c>
      <c r="C6" s="681">
        <f>COUNTA('SFA PROCUREMENT TABLE'!$A$52:$A$69)</f>
        <v>0</v>
      </c>
      <c r="D6" s="679" t="s">
        <v>254</v>
      </c>
      <c r="E6" s="683">
        <v>2</v>
      </c>
      <c r="G6" s="678" t="s">
        <v>925</v>
      </c>
      <c r="H6" s="656"/>
      <c r="I6" s="656"/>
      <c r="J6" s="656"/>
      <c r="K6" s="656"/>
      <c r="L6" s="656"/>
      <c r="M6" s="656"/>
      <c r="N6" s="656"/>
      <c r="O6" s="665"/>
    </row>
    <row r="7" spans="2:16" x14ac:dyDescent="0.25">
      <c r="B7" s="264" t="s">
        <v>402</v>
      </c>
      <c r="C7" s="682"/>
      <c r="D7" s="680"/>
      <c r="E7" s="684"/>
      <c r="G7" s="664"/>
      <c r="H7" s="656"/>
      <c r="I7" s="656"/>
      <c r="J7" s="656"/>
      <c r="K7" s="656"/>
      <c r="L7" s="656"/>
      <c r="M7" s="656"/>
      <c r="N7" s="656"/>
      <c r="O7" s="665"/>
    </row>
    <row r="8" spans="2:16" ht="16.5" thickBot="1" x14ac:dyDescent="0.3">
      <c r="B8" s="511" t="s">
        <v>256</v>
      </c>
      <c r="C8" s="512"/>
      <c r="D8" s="353" t="s">
        <v>252</v>
      </c>
      <c r="E8" s="347" t="s">
        <v>253</v>
      </c>
      <c r="G8" s="664"/>
      <c r="H8" s="656"/>
      <c r="I8" s="656"/>
      <c r="J8" s="656"/>
      <c r="K8" s="656"/>
      <c r="L8" s="656"/>
      <c r="M8" s="656"/>
      <c r="N8" s="656"/>
      <c r="O8" s="665"/>
    </row>
    <row r="9" spans="2:16" ht="6.75" customHeight="1" x14ac:dyDescent="0.25">
      <c r="B9" s="685" t="s">
        <v>519</v>
      </c>
      <c r="C9" s="691"/>
      <c r="D9" s="687" t="s">
        <v>252</v>
      </c>
      <c r="E9" s="689">
        <v>1</v>
      </c>
      <c r="G9" s="664"/>
      <c r="H9" s="656"/>
      <c r="I9" s="656"/>
      <c r="J9" s="656"/>
      <c r="K9" s="656"/>
      <c r="L9" s="656"/>
      <c r="M9" s="656"/>
      <c r="N9" s="656"/>
      <c r="O9" s="665"/>
    </row>
    <row r="10" spans="2:16" ht="9" customHeight="1" thickBot="1" x14ac:dyDescent="0.3">
      <c r="B10" s="686"/>
      <c r="C10" s="692"/>
      <c r="D10" s="688"/>
      <c r="E10" s="690"/>
      <c r="G10" s="664"/>
      <c r="H10" s="656"/>
      <c r="I10" s="656"/>
      <c r="J10" s="656"/>
      <c r="K10" s="656"/>
      <c r="L10" s="656"/>
      <c r="M10" s="656"/>
      <c r="N10" s="656"/>
      <c r="O10" s="665"/>
    </row>
    <row r="11" spans="2:16" ht="11.25" customHeight="1" x14ac:dyDescent="0.25">
      <c r="B11" s="644" t="s">
        <v>521</v>
      </c>
      <c r="C11" s="646">
        <f>COUNTA('SFA PROCUREMENT TABLE'!$A$30:$A$36)</f>
        <v>0</v>
      </c>
      <c r="D11" s="648"/>
      <c r="E11" s="650"/>
      <c r="G11" s="664"/>
      <c r="H11" s="656"/>
      <c r="I11" s="656"/>
      <c r="J11" s="656"/>
      <c r="K11" s="656"/>
      <c r="L11" s="656"/>
      <c r="M11" s="656"/>
      <c r="N11" s="656"/>
      <c r="O11" s="665"/>
    </row>
    <row r="12" spans="2:16" ht="12.75" customHeight="1" thickBot="1" x14ac:dyDescent="0.3">
      <c r="B12" s="645"/>
      <c r="C12" s="647"/>
      <c r="D12" s="649"/>
      <c r="E12" s="651"/>
      <c r="G12" s="664"/>
      <c r="H12" s="656"/>
      <c r="I12" s="656"/>
      <c r="J12" s="656"/>
      <c r="K12" s="656"/>
      <c r="L12" s="656"/>
      <c r="M12" s="656"/>
      <c r="N12" s="656"/>
      <c r="O12" s="665"/>
    </row>
    <row r="13" spans="2:16" ht="51.75" customHeight="1" thickBot="1" x14ac:dyDescent="0.3">
      <c r="B13" s="360" t="s">
        <v>928</v>
      </c>
      <c r="C13" s="343">
        <f>COUNTA('SFA PROCUREMENT TABLE'!$A$73:$A$90)</f>
        <v>0</v>
      </c>
      <c r="D13" s="351" t="s">
        <v>254</v>
      </c>
      <c r="E13" s="339">
        <v>2</v>
      </c>
      <c r="G13" s="664"/>
      <c r="H13" s="656"/>
      <c r="I13" s="656"/>
      <c r="J13" s="656"/>
      <c r="K13" s="656"/>
      <c r="L13" s="656"/>
      <c r="M13" s="656"/>
      <c r="N13" s="656"/>
      <c r="O13" s="665"/>
    </row>
    <row r="14" spans="2:16" ht="33" customHeight="1" thickBot="1" x14ac:dyDescent="0.3">
      <c r="B14" s="368" t="s">
        <v>477</v>
      </c>
      <c r="C14" s="358">
        <f>COUNTA('SFA PROCUREMENT TABLE'!A20:A26)</f>
        <v>0</v>
      </c>
      <c r="D14" s="354" t="s">
        <v>252</v>
      </c>
      <c r="E14" s="340">
        <v>1</v>
      </c>
      <c r="G14" s="664"/>
      <c r="H14" s="656"/>
      <c r="I14" s="656"/>
      <c r="J14" s="656"/>
      <c r="K14" s="656"/>
      <c r="L14" s="656"/>
      <c r="M14" s="656"/>
      <c r="N14" s="656"/>
      <c r="O14" s="665"/>
    </row>
    <row r="15" spans="2:16" ht="26.25" customHeight="1" thickBot="1" x14ac:dyDescent="0.3">
      <c r="B15" s="424" t="s">
        <v>478</v>
      </c>
      <c r="C15" s="359">
        <f>COUNTA('SFA PROCUREMENT TABLE'!A30:A36)</f>
        <v>0</v>
      </c>
      <c r="D15" s="425" t="s">
        <v>252</v>
      </c>
      <c r="E15" s="426">
        <v>1</v>
      </c>
      <c r="G15" s="664"/>
      <c r="H15" s="656"/>
      <c r="I15" s="656"/>
      <c r="J15" s="656"/>
      <c r="K15" s="656"/>
      <c r="L15" s="656"/>
      <c r="M15" s="656"/>
      <c r="N15" s="656"/>
      <c r="O15" s="665"/>
    </row>
    <row r="16" spans="2:16" ht="26.25" customHeight="1" thickBot="1" x14ac:dyDescent="0.3">
      <c r="B16" s="507" t="s">
        <v>250</v>
      </c>
      <c r="C16" s="359"/>
      <c r="D16" s="427" t="s">
        <v>252</v>
      </c>
      <c r="E16" s="428">
        <v>1</v>
      </c>
      <c r="G16" s="664"/>
      <c r="H16" s="656"/>
      <c r="I16" s="656"/>
      <c r="J16" s="656"/>
      <c r="K16" s="656"/>
      <c r="L16" s="656"/>
      <c r="M16" s="656"/>
      <c r="N16" s="656"/>
      <c r="O16" s="665"/>
    </row>
    <row r="17" spans="2:16" x14ac:dyDescent="0.25">
      <c r="B17" s="693" t="s">
        <v>520</v>
      </c>
      <c r="C17" s="695"/>
      <c r="D17" s="640"/>
      <c r="E17" s="642"/>
      <c r="G17" s="664"/>
      <c r="H17" s="656"/>
      <c r="I17" s="656"/>
      <c r="J17" s="656"/>
      <c r="K17" s="656"/>
      <c r="L17" s="656"/>
      <c r="M17" s="656"/>
      <c r="N17" s="656"/>
      <c r="O17" s="665"/>
    </row>
    <row r="18" spans="2:16" ht="22.5" customHeight="1" thickBot="1" x14ac:dyDescent="0.3">
      <c r="B18" s="694"/>
      <c r="C18" s="696"/>
      <c r="D18" s="641"/>
      <c r="E18" s="643"/>
      <c r="G18" s="664"/>
      <c r="H18" s="656"/>
      <c r="I18" s="656"/>
      <c r="J18" s="656"/>
      <c r="K18" s="656"/>
      <c r="L18" s="656"/>
      <c r="M18" s="656"/>
      <c r="N18" s="656"/>
      <c r="O18" s="665"/>
    </row>
    <row r="19" spans="2:16" ht="37.5" x14ac:dyDescent="0.25">
      <c r="B19" s="508" t="s">
        <v>405</v>
      </c>
      <c r="C19" s="519">
        <f>COUNTA('SFA PROCUREMENT TABLE'!$A$95:$A$101)</f>
        <v>0</v>
      </c>
      <c r="D19" s="520"/>
      <c r="E19" s="521"/>
      <c r="G19" s="664"/>
      <c r="H19" s="656"/>
      <c r="I19" s="656"/>
      <c r="J19" s="656"/>
      <c r="K19" s="656"/>
      <c r="L19" s="656"/>
      <c r="M19" s="656"/>
      <c r="N19" s="656"/>
      <c r="O19" s="665"/>
    </row>
    <row r="20" spans="2:16" ht="21" customHeight="1" x14ac:dyDescent="0.25">
      <c r="B20" s="322" t="s">
        <v>424</v>
      </c>
      <c r="C20" s="343">
        <f>COUNTA('SFA PROCUREMENT TABLE'!A95:A101)</f>
        <v>0</v>
      </c>
      <c r="D20" s="355" t="s">
        <v>252</v>
      </c>
      <c r="E20" s="348" t="s">
        <v>217</v>
      </c>
      <c r="G20" s="664"/>
      <c r="H20" s="656"/>
      <c r="I20" s="656"/>
      <c r="J20" s="656"/>
      <c r="K20" s="656"/>
      <c r="L20" s="656"/>
      <c r="M20" s="656"/>
      <c r="N20" s="656"/>
      <c r="O20" s="665"/>
    </row>
    <row r="21" spans="2:16" ht="21" customHeight="1" x14ac:dyDescent="0.25">
      <c r="B21" s="326" t="s">
        <v>421</v>
      </c>
      <c r="C21" s="518">
        <f>COUNTA('SFA PROCUREMENT TABLE'!$A$105:$A$125)</f>
        <v>0</v>
      </c>
      <c r="D21" s="356"/>
      <c r="E21" s="344"/>
      <c r="G21" s="664"/>
      <c r="H21" s="656"/>
      <c r="I21" s="656"/>
      <c r="J21" s="656"/>
      <c r="K21" s="656"/>
      <c r="L21" s="656"/>
      <c r="M21" s="656"/>
      <c r="N21" s="656"/>
      <c r="O21" s="665"/>
    </row>
    <row r="22" spans="2:16" ht="22.5" customHeight="1" x14ac:dyDescent="0.25">
      <c r="B22" s="264" t="s">
        <v>402</v>
      </c>
      <c r="C22" s="506"/>
      <c r="D22" s="357" t="s">
        <v>254</v>
      </c>
      <c r="E22" s="349">
        <v>2</v>
      </c>
      <c r="G22" s="672" t="s">
        <v>508</v>
      </c>
      <c r="H22" s="673"/>
      <c r="I22" s="673"/>
      <c r="J22" s="673"/>
      <c r="K22" s="673"/>
      <c r="L22" s="673"/>
      <c r="M22" s="673"/>
      <c r="N22" s="673"/>
      <c r="O22" s="674"/>
      <c r="P22" s="3"/>
    </row>
    <row r="23" spans="2:16" ht="21" customHeight="1" thickBot="1" x14ac:dyDescent="0.3">
      <c r="B23" s="265" t="s">
        <v>250</v>
      </c>
      <c r="C23" s="513"/>
      <c r="D23" s="505" t="s">
        <v>403</v>
      </c>
      <c r="E23" s="349">
        <v>1</v>
      </c>
      <c r="G23" s="675"/>
      <c r="H23" s="676"/>
      <c r="I23" s="676"/>
      <c r="J23" s="676"/>
      <c r="K23" s="676"/>
      <c r="L23" s="676"/>
      <c r="M23" s="676"/>
      <c r="N23" s="676"/>
      <c r="O23" s="677"/>
      <c r="P23" s="3"/>
    </row>
    <row r="24" spans="2:16" ht="24" customHeight="1" thickBot="1" x14ac:dyDescent="0.3">
      <c r="B24" s="509" t="s">
        <v>404</v>
      </c>
      <c r="C24" s="514"/>
      <c r="D24" s="516" t="s">
        <v>255</v>
      </c>
      <c r="E24" s="517">
        <v>1</v>
      </c>
      <c r="G24" s="675"/>
      <c r="H24" s="676"/>
      <c r="I24" s="676"/>
      <c r="J24" s="676"/>
      <c r="K24" s="676"/>
      <c r="L24" s="676"/>
      <c r="M24" s="676"/>
      <c r="N24" s="676"/>
      <c r="O24" s="677"/>
      <c r="P24" s="3"/>
    </row>
    <row r="25" spans="2:16" ht="16.5" thickBot="1" x14ac:dyDescent="0.3">
      <c r="B25" s="510" t="s">
        <v>522</v>
      </c>
      <c r="C25" s="515"/>
      <c r="D25" s="515"/>
      <c r="E25" s="515"/>
      <c r="G25" s="675"/>
      <c r="H25" s="676"/>
      <c r="I25" s="676"/>
      <c r="J25" s="676"/>
      <c r="K25" s="676"/>
      <c r="L25" s="676"/>
      <c r="M25" s="676"/>
      <c r="N25" s="676"/>
      <c r="O25" s="677"/>
      <c r="P25" s="3"/>
    </row>
    <row r="26" spans="2:16" ht="31.5" customHeight="1" x14ac:dyDescent="0.25">
      <c r="G26" s="675"/>
      <c r="H26" s="676"/>
      <c r="I26" s="676"/>
      <c r="J26" s="676"/>
      <c r="K26" s="676"/>
      <c r="L26" s="676"/>
      <c r="M26" s="676"/>
      <c r="N26" s="676"/>
      <c r="O26" s="677"/>
      <c r="P26" s="3"/>
    </row>
    <row r="27" spans="2:16" ht="36" customHeight="1" x14ac:dyDescent="0.25">
      <c r="G27" s="661" t="s">
        <v>926</v>
      </c>
      <c r="H27" s="662"/>
      <c r="I27" s="662"/>
      <c r="J27" s="662"/>
      <c r="K27" s="662"/>
      <c r="L27" s="662"/>
      <c r="M27" s="662"/>
      <c r="N27" s="662"/>
      <c r="O27" s="663"/>
      <c r="P27" s="3"/>
    </row>
    <row r="28" spans="2:16" ht="39" customHeight="1" x14ac:dyDescent="0.25">
      <c r="G28" s="666"/>
      <c r="H28" s="667"/>
      <c r="I28" s="667"/>
      <c r="J28" s="667"/>
      <c r="K28" s="667"/>
      <c r="L28" s="667"/>
      <c r="M28" s="667"/>
      <c r="N28" s="667"/>
      <c r="O28" s="668"/>
      <c r="P28" s="3"/>
    </row>
    <row r="29" spans="2:16" ht="15.75" customHeight="1" x14ac:dyDescent="0.25">
      <c r="G29" s="661" t="s">
        <v>927</v>
      </c>
      <c r="H29" s="662"/>
      <c r="I29" s="662"/>
      <c r="J29" s="662"/>
      <c r="K29" s="662"/>
      <c r="L29" s="662"/>
      <c r="M29" s="662"/>
      <c r="N29" s="662"/>
      <c r="O29" s="663"/>
    </row>
    <row r="30" spans="2:16" ht="15.75" customHeight="1" x14ac:dyDescent="0.25">
      <c r="G30" s="664"/>
      <c r="H30" s="656"/>
      <c r="I30" s="656"/>
      <c r="J30" s="656"/>
      <c r="K30" s="656"/>
      <c r="L30" s="656"/>
      <c r="M30" s="656"/>
      <c r="N30" s="656"/>
      <c r="O30" s="665"/>
    </row>
    <row r="31" spans="2:16" ht="15.75" customHeight="1" x14ac:dyDescent="0.25">
      <c r="G31" s="664"/>
      <c r="H31" s="656"/>
      <c r="I31" s="656"/>
      <c r="J31" s="656"/>
      <c r="K31" s="656"/>
      <c r="L31" s="656"/>
      <c r="M31" s="656"/>
      <c r="N31" s="656"/>
      <c r="O31" s="665"/>
    </row>
    <row r="32" spans="2:16" ht="15.75" customHeight="1" x14ac:dyDescent="0.25">
      <c r="G32" s="664"/>
      <c r="H32" s="656"/>
      <c r="I32" s="656"/>
      <c r="J32" s="656"/>
      <c r="K32" s="656"/>
      <c r="L32" s="656"/>
      <c r="M32" s="656"/>
      <c r="N32" s="656"/>
      <c r="O32" s="665"/>
    </row>
    <row r="33" spans="7:15" ht="15.75" customHeight="1" x14ac:dyDescent="0.25">
      <c r="G33" s="664"/>
      <c r="H33" s="656"/>
      <c r="I33" s="656"/>
      <c r="J33" s="656"/>
      <c r="K33" s="656"/>
      <c r="L33" s="656"/>
      <c r="M33" s="656"/>
      <c r="N33" s="656"/>
      <c r="O33" s="665"/>
    </row>
    <row r="34" spans="7:15" ht="50.25" customHeight="1" x14ac:dyDescent="0.25">
      <c r="G34" s="664"/>
      <c r="H34" s="656"/>
      <c r="I34" s="656"/>
      <c r="J34" s="656"/>
      <c r="K34" s="656"/>
      <c r="L34" s="656"/>
      <c r="M34" s="656"/>
      <c r="N34" s="656"/>
      <c r="O34" s="665"/>
    </row>
    <row r="35" spans="7:15" ht="15.75" customHeight="1" x14ac:dyDescent="0.25">
      <c r="G35" s="661" t="s">
        <v>509</v>
      </c>
      <c r="H35" s="662"/>
      <c r="I35" s="662"/>
      <c r="J35" s="662"/>
      <c r="K35" s="662"/>
      <c r="L35" s="662"/>
      <c r="M35" s="662"/>
      <c r="N35" s="662"/>
      <c r="O35" s="663"/>
    </row>
    <row r="36" spans="7:15" x14ac:dyDescent="0.25">
      <c r="G36" s="664"/>
      <c r="H36" s="656"/>
      <c r="I36" s="656"/>
      <c r="J36" s="656"/>
      <c r="K36" s="656"/>
      <c r="L36" s="656"/>
      <c r="M36" s="656"/>
      <c r="N36" s="656"/>
      <c r="O36" s="665"/>
    </row>
    <row r="37" spans="7:15" x14ac:dyDescent="0.25">
      <c r="G37" s="664"/>
      <c r="H37" s="656"/>
      <c r="I37" s="656"/>
      <c r="J37" s="656"/>
      <c r="K37" s="656"/>
      <c r="L37" s="656"/>
      <c r="M37" s="656"/>
      <c r="N37" s="656"/>
      <c r="O37" s="665"/>
    </row>
    <row r="38" spans="7:15" x14ac:dyDescent="0.25">
      <c r="G38" s="664"/>
      <c r="H38" s="656"/>
      <c r="I38" s="656"/>
      <c r="J38" s="656"/>
      <c r="K38" s="656"/>
      <c r="L38" s="656"/>
      <c r="M38" s="656"/>
      <c r="N38" s="656"/>
      <c r="O38" s="665"/>
    </row>
    <row r="39" spans="7:15" ht="51.75" customHeight="1" x14ac:dyDescent="0.25">
      <c r="G39" s="666"/>
      <c r="H39" s="667"/>
      <c r="I39" s="667"/>
      <c r="J39" s="667"/>
      <c r="K39" s="667"/>
      <c r="L39" s="667"/>
      <c r="M39" s="667"/>
      <c r="N39" s="667"/>
      <c r="O39" s="668"/>
    </row>
  </sheetData>
  <mergeCells count="22">
    <mergeCell ref="G1:P5"/>
    <mergeCell ref="G35:O39"/>
    <mergeCell ref="B1:E1"/>
    <mergeCell ref="G22:O26"/>
    <mergeCell ref="G6:O21"/>
    <mergeCell ref="G27:O28"/>
    <mergeCell ref="G29:O34"/>
    <mergeCell ref="D6:D7"/>
    <mergeCell ref="C6:C7"/>
    <mergeCell ref="E6:E7"/>
    <mergeCell ref="B9:B10"/>
    <mergeCell ref="D9:D10"/>
    <mergeCell ref="E9:E10"/>
    <mergeCell ref="C9:C10"/>
    <mergeCell ref="B17:B18"/>
    <mergeCell ref="C17:C18"/>
    <mergeCell ref="D17:D18"/>
    <mergeCell ref="E17:E18"/>
    <mergeCell ref="B11:B12"/>
    <mergeCell ref="C11:C12"/>
    <mergeCell ref="D11:D12"/>
    <mergeCell ref="E11:E12"/>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2060"/>
  </sheetPr>
  <dimension ref="A2:P319"/>
  <sheetViews>
    <sheetView topLeftCell="A151" workbookViewId="0">
      <selection activeCell="A220" sqref="A220"/>
    </sheetView>
  </sheetViews>
  <sheetFormatPr defaultColWidth="9.140625" defaultRowHeight="15" x14ac:dyDescent="0.25"/>
  <cols>
    <col min="1" max="1" width="55.5703125" style="52" customWidth="1"/>
    <col min="2" max="2" width="11.5703125" style="36" customWidth="1"/>
    <col min="3" max="16384" width="9.140625" style="36"/>
  </cols>
  <sheetData>
    <row r="2" spans="1:16" x14ac:dyDescent="0.25">
      <c r="A2" s="52" t="s">
        <v>180</v>
      </c>
    </row>
    <row r="3" spans="1:16" ht="18.75" x14ac:dyDescent="0.3">
      <c r="A3" s="43" t="s">
        <v>295</v>
      </c>
      <c r="B3" s="43"/>
      <c r="C3" s="43"/>
      <c r="D3" s="43"/>
      <c r="E3" s="43"/>
      <c r="F3" s="43"/>
      <c r="G3" s="43"/>
      <c r="H3" s="43"/>
      <c r="I3" s="43"/>
      <c r="J3" s="43"/>
      <c r="K3" s="43"/>
      <c r="L3" s="43"/>
      <c r="M3" s="43"/>
      <c r="N3" s="43"/>
    </row>
    <row r="4" spans="1:16" ht="18.75" x14ac:dyDescent="0.3">
      <c r="A4" s="44" t="s">
        <v>236</v>
      </c>
      <c r="B4" s="44"/>
      <c r="C4" s="44"/>
      <c r="D4" s="44"/>
      <c r="E4" s="44"/>
      <c r="F4" s="44" t="s">
        <v>290</v>
      </c>
      <c r="G4" s="44"/>
      <c r="H4" s="44"/>
      <c r="I4" s="44"/>
      <c r="J4" s="44"/>
      <c r="K4" s="44"/>
      <c r="L4" s="44"/>
      <c r="M4" s="44"/>
      <c r="N4" s="44"/>
      <c r="O4" s="34"/>
    </row>
    <row r="5" spans="1:16" ht="18.75" x14ac:dyDescent="0.3">
      <c r="A5" s="44"/>
      <c r="B5" s="44"/>
      <c r="C5" s="44"/>
      <c r="D5" s="44"/>
      <c r="E5" s="44"/>
      <c r="F5" s="44" t="s">
        <v>291</v>
      </c>
      <c r="G5" s="44"/>
      <c r="H5" s="44"/>
      <c r="I5" s="44"/>
      <c r="J5" s="44"/>
      <c r="K5" s="44"/>
      <c r="L5" s="44"/>
      <c r="M5" s="44"/>
      <c r="N5" s="44"/>
      <c r="O5" s="34"/>
      <c r="P5" s="34"/>
    </row>
    <row r="6" spans="1:16" ht="18.75" x14ac:dyDescent="0.3">
      <c r="A6" s="44" t="s">
        <v>180</v>
      </c>
      <c r="B6" s="44" t="s">
        <v>187</v>
      </c>
      <c r="C6" s="44"/>
      <c r="D6" s="44"/>
      <c r="E6" s="44"/>
      <c r="F6" s="44" t="s">
        <v>332</v>
      </c>
      <c r="G6" s="44"/>
      <c r="H6" s="44"/>
      <c r="I6" s="44"/>
      <c r="J6" s="44"/>
      <c r="K6" s="44"/>
      <c r="L6" s="44"/>
      <c r="M6" s="44"/>
      <c r="N6" s="44"/>
      <c r="O6" s="34"/>
      <c r="P6" s="34"/>
    </row>
    <row r="7" spans="1:16" ht="18.75" x14ac:dyDescent="0.3">
      <c r="A7" s="44" t="s">
        <v>181</v>
      </c>
      <c r="B7" s="44"/>
      <c r="C7" s="44"/>
      <c r="D7" s="44"/>
      <c r="E7" s="44"/>
      <c r="F7" s="44" t="s">
        <v>194</v>
      </c>
      <c r="G7" s="44"/>
      <c r="H7" s="44"/>
      <c r="I7" s="44"/>
      <c r="J7" s="44"/>
      <c r="K7" s="44"/>
      <c r="L7" s="44"/>
      <c r="M7" s="44"/>
      <c r="N7" s="44"/>
      <c r="O7" s="34"/>
      <c r="P7" s="34"/>
    </row>
    <row r="8" spans="1:16" ht="18.75" x14ac:dyDescent="0.3">
      <c r="A8" s="44" t="s">
        <v>236</v>
      </c>
      <c r="B8" s="44"/>
      <c r="C8" s="44"/>
      <c r="D8" s="44"/>
      <c r="E8" s="44"/>
      <c r="F8" s="44"/>
      <c r="G8" s="44"/>
      <c r="H8" s="44"/>
      <c r="I8" s="44"/>
      <c r="J8" s="44"/>
      <c r="K8" s="44"/>
      <c r="L8" s="44"/>
      <c r="M8" s="44"/>
      <c r="N8" s="44"/>
      <c r="O8" s="34"/>
      <c r="P8" s="34"/>
    </row>
    <row r="9" spans="1:16" ht="18.75" x14ac:dyDescent="0.3">
      <c r="A9" s="44"/>
      <c r="B9" s="44"/>
      <c r="C9" s="44"/>
      <c r="D9" s="44"/>
      <c r="E9" s="44"/>
      <c r="F9" s="44"/>
      <c r="G9" s="44"/>
      <c r="H9" s="44"/>
      <c r="I9" s="44"/>
      <c r="J9" s="44"/>
      <c r="K9" s="44"/>
      <c r="L9" s="44"/>
      <c r="M9" s="44"/>
      <c r="N9" s="44"/>
      <c r="O9" s="34"/>
      <c r="P9" s="34"/>
    </row>
    <row r="10" spans="1:16" ht="18.75" x14ac:dyDescent="0.3">
      <c r="A10" s="44"/>
      <c r="B10" s="44"/>
      <c r="C10" s="44"/>
      <c r="D10" s="44"/>
      <c r="E10" s="44"/>
      <c r="F10" s="44"/>
      <c r="G10" s="44"/>
      <c r="H10" s="44"/>
      <c r="I10" s="44"/>
      <c r="J10" s="44"/>
      <c r="K10" s="44"/>
      <c r="L10" s="44"/>
      <c r="M10" s="44"/>
      <c r="N10" s="44"/>
      <c r="O10" s="34"/>
      <c r="P10" s="34"/>
    </row>
    <row r="11" spans="1:16" ht="18.75" x14ac:dyDescent="0.3">
      <c r="A11" s="44" t="s">
        <v>180</v>
      </c>
      <c r="B11" s="44"/>
      <c r="C11" s="44"/>
      <c r="D11" s="44"/>
      <c r="E11" s="44"/>
      <c r="F11" s="44"/>
      <c r="G11" s="44"/>
      <c r="H11" s="44"/>
      <c r="I11" s="44"/>
      <c r="J11" s="44"/>
      <c r="K11" s="44"/>
      <c r="L11" s="44"/>
      <c r="M11" s="44"/>
      <c r="N11" s="44"/>
      <c r="O11" s="34"/>
      <c r="P11" s="34"/>
    </row>
    <row r="12" spans="1:16" ht="18.75" x14ac:dyDescent="0.3">
      <c r="A12" s="44" t="s">
        <v>295</v>
      </c>
      <c r="B12" s="44"/>
      <c r="C12" s="44"/>
      <c r="D12" s="44"/>
      <c r="E12" s="44"/>
      <c r="F12" s="44"/>
      <c r="G12" s="44"/>
      <c r="H12" s="44"/>
      <c r="I12" s="44"/>
      <c r="J12" s="44"/>
      <c r="K12" s="44"/>
      <c r="L12" s="44"/>
      <c r="M12" s="44"/>
      <c r="N12" s="44"/>
      <c r="O12" s="34"/>
      <c r="P12" s="34"/>
    </row>
    <row r="13" spans="1:16" ht="18.75" x14ac:dyDescent="0.3">
      <c r="A13" s="44" t="s">
        <v>236</v>
      </c>
      <c r="B13" s="44"/>
      <c r="C13" s="44"/>
      <c r="D13" s="44" t="s">
        <v>234</v>
      </c>
      <c r="E13" s="44"/>
      <c r="F13" s="44"/>
      <c r="G13" s="44"/>
      <c r="H13" s="44"/>
      <c r="I13" s="44"/>
      <c r="J13" s="44"/>
      <c r="K13" s="44"/>
      <c r="L13" s="44"/>
      <c r="M13" s="44"/>
      <c r="N13" s="44"/>
      <c r="O13" s="34"/>
      <c r="P13" s="34"/>
    </row>
    <row r="14" spans="1:16" ht="18.75" x14ac:dyDescent="0.3">
      <c r="A14" s="44" t="s">
        <v>180</v>
      </c>
      <c r="B14" s="44" t="s">
        <v>186</v>
      </c>
      <c r="C14" s="44" t="s">
        <v>180</v>
      </c>
      <c r="D14" s="44" t="s">
        <v>180</v>
      </c>
      <c r="E14" s="44"/>
      <c r="F14" s="44"/>
      <c r="G14" s="44"/>
      <c r="H14" s="44"/>
      <c r="I14" s="44"/>
      <c r="J14" s="44"/>
      <c r="K14" s="44"/>
      <c r="L14" s="44"/>
      <c r="M14" s="44"/>
      <c r="N14" s="44"/>
      <c r="O14" s="34"/>
      <c r="P14" s="34"/>
    </row>
    <row r="15" spans="1:16" ht="18.75" x14ac:dyDescent="0.3">
      <c r="A15" s="44" t="s">
        <v>181</v>
      </c>
      <c r="B15" s="44"/>
      <c r="C15" s="44" t="s">
        <v>233</v>
      </c>
      <c r="D15" s="44" t="s">
        <v>181</v>
      </c>
      <c r="E15" s="44"/>
      <c r="F15" s="44"/>
      <c r="G15" s="44"/>
      <c r="H15" s="44"/>
      <c r="I15" s="44"/>
      <c r="J15" s="44"/>
      <c r="K15" s="44"/>
      <c r="L15" s="44"/>
      <c r="M15" s="44"/>
      <c r="N15" s="44"/>
      <c r="O15" s="34"/>
      <c r="P15" s="34"/>
    </row>
    <row r="16" spans="1:16" ht="18.75" x14ac:dyDescent="0.3">
      <c r="A16" s="44"/>
      <c r="B16" s="44"/>
      <c r="C16" s="44"/>
      <c r="D16" s="44"/>
      <c r="E16" s="44"/>
      <c r="F16" s="44"/>
      <c r="G16" s="44"/>
      <c r="H16" s="44"/>
      <c r="I16" s="44"/>
      <c r="J16" s="44"/>
      <c r="K16" s="44"/>
      <c r="L16" s="44"/>
      <c r="M16" s="44"/>
      <c r="N16" s="44"/>
      <c r="O16" s="34"/>
      <c r="P16" s="34"/>
    </row>
    <row r="17" spans="1:16" ht="18.75" x14ac:dyDescent="0.3">
      <c r="A17" s="44" t="s">
        <v>212</v>
      </c>
      <c r="B17" s="44" t="s">
        <v>213</v>
      </c>
      <c r="C17" s="44"/>
      <c r="D17" s="44"/>
      <c r="E17" s="44"/>
      <c r="F17" s="44"/>
      <c r="G17" s="44"/>
      <c r="H17" s="44"/>
      <c r="I17" s="44"/>
      <c r="J17" s="44"/>
      <c r="K17" s="44"/>
      <c r="L17" s="44"/>
      <c r="M17" s="44"/>
      <c r="N17" s="44"/>
      <c r="O17" s="34"/>
      <c r="P17" s="34"/>
    </row>
    <row r="18" spans="1:16" ht="18.75" x14ac:dyDescent="0.3">
      <c r="A18" s="44" t="s">
        <v>184</v>
      </c>
      <c r="B18" s="44"/>
      <c r="C18" s="44"/>
      <c r="D18" s="44" t="s">
        <v>221</v>
      </c>
      <c r="E18" s="44"/>
      <c r="F18" s="44"/>
      <c r="G18" s="44"/>
      <c r="H18" s="44"/>
      <c r="I18" s="44"/>
      <c r="J18" s="44"/>
      <c r="K18" s="44"/>
      <c r="L18" s="44"/>
      <c r="M18" s="44"/>
      <c r="N18" s="44"/>
      <c r="O18" s="34"/>
      <c r="P18" s="34"/>
    </row>
    <row r="19" spans="1:16" ht="18.75" x14ac:dyDescent="0.3">
      <c r="A19" s="44" t="s">
        <v>182</v>
      </c>
      <c r="B19" s="44"/>
      <c r="C19" s="44"/>
      <c r="D19" s="44" t="s">
        <v>182</v>
      </c>
      <c r="E19" s="44"/>
      <c r="F19" s="44"/>
      <c r="G19" s="44"/>
      <c r="H19" s="44"/>
      <c r="I19" s="44"/>
      <c r="J19" s="44"/>
      <c r="K19" s="44"/>
      <c r="L19" s="44"/>
      <c r="M19" s="44"/>
      <c r="N19" s="44"/>
      <c r="O19" s="34"/>
      <c r="P19" s="34"/>
    </row>
    <row r="20" spans="1:16" ht="18.75" x14ac:dyDescent="0.3">
      <c r="A20" s="44" t="s">
        <v>183</v>
      </c>
      <c r="B20" s="44"/>
      <c r="C20" s="44"/>
      <c r="D20" s="44" t="s">
        <v>183</v>
      </c>
      <c r="E20" s="44"/>
      <c r="F20" s="44"/>
      <c r="G20" s="44"/>
      <c r="H20" s="44"/>
      <c r="I20" s="44"/>
      <c r="J20" s="44"/>
      <c r="K20" s="44"/>
      <c r="L20" s="44"/>
      <c r="M20" s="44"/>
      <c r="N20" s="44"/>
      <c r="O20" s="34"/>
      <c r="P20" s="34"/>
    </row>
    <row r="21" spans="1:16" ht="18.75" x14ac:dyDescent="0.3">
      <c r="A21" s="44"/>
      <c r="B21" s="44"/>
      <c r="C21" s="44"/>
      <c r="D21" s="44"/>
      <c r="E21" s="44"/>
      <c r="F21" s="44"/>
      <c r="G21" s="44"/>
      <c r="H21" s="44"/>
      <c r="I21" s="44"/>
      <c r="J21" s="44"/>
      <c r="K21" s="44"/>
      <c r="L21" s="44"/>
      <c r="M21" s="44"/>
      <c r="N21" s="44"/>
      <c r="O21" s="34"/>
      <c r="P21" s="34"/>
    </row>
    <row r="22" spans="1:16" ht="18.75" x14ac:dyDescent="0.3">
      <c r="A22" s="44" t="s">
        <v>212</v>
      </c>
      <c r="B22" s="44"/>
      <c r="C22" s="44"/>
      <c r="D22" s="44"/>
      <c r="E22" s="44"/>
      <c r="F22" s="44"/>
      <c r="G22" s="44"/>
      <c r="H22" s="44"/>
      <c r="I22" s="44"/>
      <c r="J22" s="44"/>
      <c r="K22" s="44"/>
      <c r="L22" s="44"/>
      <c r="M22" s="44"/>
      <c r="N22" s="44"/>
      <c r="O22" s="34"/>
      <c r="P22" s="34"/>
    </row>
    <row r="23" spans="1:16" ht="18.75" x14ac:dyDescent="0.3">
      <c r="A23" s="44" t="s">
        <v>214</v>
      </c>
      <c r="B23" s="44"/>
      <c r="C23" s="44"/>
      <c r="D23" s="44"/>
      <c r="E23" s="44"/>
      <c r="F23" s="44"/>
      <c r="G23" s="44"/>
      <c r="H23" s="44"/>
      <c r="I23" s="44"/>
      <c r="J23" s="44"/>
      <c r="K23" s="44"/>
      <c r="L23" s="44"/>
      <c r="M23" s="44"/>
      <c r="N23" s="44"/>
      <c r="O23" s="34"/>
      <c r="P23" s="34"/>
    </row>
    <row r="24" spans="1:16" ht="18.75" x14ac:dyDescent="0.3">
      <c r="A24" s="44" t="s">
        <v>182</v>
      </c>
      <c r="B24" s="44"/>
      <c r="C24" s="44"/>
      <c r="D24" s="44"/>
      <c r="E24" s="44"/>
      <c r="F24" s="44"/>
      <c r="G24" s="44"/>
      <c r="H24" s="44"/>
      <c r="I24" s="44"/>
      <c r="J24" s="44"/>
      <c r="K24" s="44"/>
      <c r="L24" s="44"/>
      <c r="M24" s="44"/>
      <c r="N24" s="44"/>
      <c r="O24" s="34"/>
      <c r="P24" s="34"/>
    </row>
    <row r="25" spans="1:16" ht="18.75" x14ac:dyDescent="0.3">
      <c r="A25" s="44" t="s">
        <v>183</v>
      </c>
      <c r="B25" s="44"/>
      <c r="C25" s="44"/>
      <c r="D25" s="44"/>
      <c r="E25" s="44"/>
      <c r="F25" s="44"/>
      <c r="G25" s="44"/>
      <c r="H25" s="44"/>
      <c r="I25" s="44"/>
      <c r="J25" s="44"/>
      <c r="K25" s="44"/>
      <c r="L25" s="44"/>
      <c r="M25" s="44"/>
      <c r="N25" s="44"/>
      <c r="O25" s="34"/>
      <c r="P25" s="34"/>
    </row>
    <row r="26" spans="1:16" ht="18.75" x14ac:dyDescent="0.3">
      <c r="A26" s="44"/>
      <c r="B26" s="44"/>
      <c r="C26" s="44"/>
      <c r="D26" s="44"/>
      <c r="E26" s="44"/>
      <c r="F26" s="44"/>
      <c r="G26" s="44"/>
      <c r="H26" s="44"/>
      <c r="I26" s="44"/>
      <c r="J26" s="44"/>
      <c r="K26" s="44"/>
      <c r="L26" s="44"/>
      <c r="M26" s="44"/>
      <c r="N26" s="44"/>
      <c r="O26" s="34"/>
      <c r="P26" s="34"/>
    </row>
    <row r="27" spans="1:16" ht="18.75" x14ac:dyDescent="0.3">
      <c r="A27" s="44" t="s">
        <v>182</v>
      </c>
      <c r="B27" s="44" t="s">
        <v>200</v>
      </c>
      <c r="C27" s="44"/>
      <c r="D27" s="44"/>
      <c r="E27" s="44"/>
      <c r="F27" s="44"/>
      <c r="G27" s="44"/>
      <c r="H27" s="44"/>
      <c r="I27" s="44"/>
      <c r="J27" s="44"/>
      <c r="K27" s="44"/>
      <c r="L27" s="44"/>
      <c r="M27" s="44"/>
      <c r="N27" s="44"/>
      <c r="O27" s="34"/>
      <c r="P27" s="34"/>
    </row>
    <row r="28" spans="1:16" ht="18.75" x14ac:dyDescent="0.3">
      <c r="A28" s="44" t="s">
        <v>183</v>
      </c>
      <c r="B28" s="44"/>
      <c r="C28" s="44"/>
      <c r="D28" s="44"/>
      <c r="E28" s="44"/>
      <c r="F28" s="44"/>
      <c r="G28" s="44"/>
      <c r="H28" s="44"/>
      <c r="I28" s="44"/>
      <c r="J28" s="44"/>
      <c r="K28" s="44"/>
      <c r="L28" s="44"/>
      <c r="M28" s="44"/>
      <c r="N28" s="44"/>
      <c r="O28" s="34"/>
      <c r="P28" s="34"/>
    </row>
    <row r="29" spans="1:16" ht="18.75" x14ac:dyDescent="0.3">
      <c r="A29" s="44"/>
      <c r="B29" s="44"/>
      <c r="C29" s="44"/>
      <c r="D29" s="44"/>
      <c r="E29" s="44"/>
      <c r="F29" s="44"/>
      <c r="G29" s="44"/>
      <c r="H29" s="44"/>
      <c r="I29" s="44"/>
      <c r="J29" s="44"/>
      <c r="K29" s="44"/>
      <c r="L29" s="44"/>
      <c r="M29" s="44"/>
      <c r="N29" s="44"/>
      <c r="O29" s="34"/>
      <c r="P29" s="34"/>
    </row>
    <row r="30" spans="1:16" ht="18.75" x14ac:dyDescent="0.3">
      <c r="A30" s="44"/>
      <c r="B30" s="44" t="s">
        <v>198</v>
      </c>
      <c r="C30" s="44"/>
      <c r="D30" s="44"/>
      <c r="E30" s="44"/>
      <c r="F30" s="44"/>
      <c r="G30" s="44"/>
      <c r="H30" s="44"/>
      <c r="I30" s="44"/>
      <c r="J30" s="44"/>
      <c r="K30" s="44"/>
      <c r="L30" s="44"/>
      <c r="M30" s="44"/>
      <c r="N30" s="44"/>
      <c r="O30" s="34"/>
      <c r="P30" s="34"/>
    </row>
    <row r="31" spans="1:16" ht="18.75" x14ac:dyDescent="0.3">
      <c r="A31" s="44" t="s">
        <v>207</v>
      </c>
      <c r="B31" s="44"/>
      <c r="C31" s="44"/>
      <c r="D31" s="44"/>
      <c r="E31" s="44"/>
      <c r="F31" s="44"/>
      <c r="G31" s="44"/>
      <c r="H31" s="44"/>
      <c r="I31" s="44"/>
      <c r="J31" s="44"/>
      <c r="K31" s="44"/>
      <c r="L31" s="44"/>
      <c r="M31" s="44"/>
      <c r="N31" s="44"/>
      <c r="O31" s="34"/>
      <c r="P31" s="34"/>
    </row>
    <row r="32" spans="1:16" ht="18.75" x14ac:dyDescent="0.3">
      <c r="A32" s="44" t="s">
        <v>197</v>
      </c>
      <c r="B32" s="44"/>
      <c r="C32" s="44"/>
      <c r="D32" s="44"/>
      <c r="E32" s="44"/>
      <c r="F32" s="44"/>
      <c r="G32" s="44"/>
      <c r="H32" s="44"/>
      <c r="I32" s="44"/>
      <c r="J32" s="44"/>
      <c r="K32" s="44"/>
      <c r="L32" s="44"/>
      <c r="M32" s="44"/>
      <c r="N32" s="44"/>
      <c r="O32" s="34"/>
      <c r="P32" s="34"/>
    </row>
    <row r="33" spans="1:16" ht="18.75" x14ac:dyDescent="0.3">
      <c r="A33" s="44" t="s">
        <v>82</v>
      </c>
      <c r="B33" s="44"/>
      <c r="C33" s="44"/>
      <c r="D33" s="44"/>
      <c r="E33" s="44"/>
      <c r="F33" s="44"/>
      <c r="G33" s="44"/>
      <c r="H33" s="44"/>
      <c r="I33" s="44"/>
      <c r="J33" s="44"/>
      <c r="K33" s="44"/>
      <c r="L33" s="44"/>
      <c r="M33" s="44"/>
      <c r="N33" s="44"/>
      <c r="O33" s="34"/>
      <c r="P33" s="34"/>
    </row>
    <row r="34" spans="1:16" ht="18.75" x14ac:dyDescent="0.3">
      <c r="A34" s="44" t="s">
        <v>83</v>
      </c>
      <c r="B34" s="44"/>
      <c r="C34" s="44"/>
      <c r="D34" s="44"/>
      <c r="E34" s="44"/>
      <c r="F34" s="44"/>
      <c r="G34" s="44"/>
      <c r="H34" s="44"/>
      <c r="I34" s="44"/>
      <c r="J34" s="44"/>
      <c r="K34" s="44"/>
      <c r="L34" s="44"/>
      <c r="M34" s="44"/>
      <c r="N34" s="44"/>
      <c r="O34" s="34"/>
      <c r="P34" s="34"/>
    </row>
    <row r="35" spans="1:16" ht="18.75" x14ac:dyDescent="0.3">
      <c r="A35" s="44"/>
      <c r="B35" s="44"/>
      <c r="C35" s="44"/>
      <c r="D35" s="44"/>
      <c r="E35" s="44"/>
      <c r="F35" s="44"/>
      <c r="G35" s="44"/>
      <c r="H35" s="44"/>
      <c r="I35" s="44"/>
      <c r="J35" s="44"/>
      <c r="K35" s="44"/>
      <c r="L35" s="44"/>
      <c r="M35" s="44"/>
      <c r="N35" s="44"/>
      <c r="O35" s="34"/>
      <c r="P35" s="34"/>
    </row>
    <row r="36" spans="1:16" ht="18.75" x14ac:dyDescent="0.3">
      <c r="A36" s="44" t="s">
        <v>939</v>
      </c>
      <c r="B36" s="44" t="s">
        <v>189</v>
      </c>
      <c r="C36" s="44"/>
      <c r="D36" s="44"/>
      <c r="E36" s="44"/>
      <c r="F36" s="44"/>
      <c r="G36" s="44"/>
      <c r="H36" s="44"/>
      <c r="I36" s="44"/>
      <c r="J36" s="44"/>
      <c r="K36" s="44"/>
      <c r="L36" s="44"/>
      <c r="M36" s="44"/>
      <c r="N36" s="44"/>
      <c r="O36" s="34"/>
      <c r="P36" s="34"/>
    </row>
    <row r="37" spans="1:16" ht="18.75" x14ac:dyDescent="0.3">
      <c r="A37" s="44" t="s">
        <v>937</v>
      </c>
      <c r="B37" s="44"/>
      <c r="C37" s="44"/>
      <c r="D37" s="44"/>
      <c r="E37" s="44"/>
      <c r="F37" s="44"/>
      <c r="G37" s="44"/>
      <c r="H37" s="44"/>
      <c r="I37" s="44"/>
      <c r="J37" s="44"/>
      <c r="K37" s="44"/>
      <c r="L37" s="44"/>
      <c r="M37" s="44"/>
      <c r="N37" s="44"/>
      <c r="O37" s="34"/>
      <c r="P37" s="34"/>
    </row>
    <row r="38" spans="1:16" ht="18.75" x14ac:dyDescent="0.3">
      <c r="A38" s="44" t="s">
        <v>188</v>
      </c>
      <c r="B38" s="44"/>
      <c r="C38" s="44"/>
      <c r="D38" s="44"/>
      <c r="E38" s="44"/>
      <c r="F38" s="44"/>
      <c r="G38" s="44"/>
      <c r="H38" s="44"/>
      <c r="I38" s="44"/>
      <c r="J38" s="44"/>
      <c r="K38" s="44"/>
      <c r="L38" s="44"/>
      <c r="M38" s="44"/>
      <c r="N38" s="44"/>
      <c r="O38" s="34"/>
      <c r="P38" s="34"/>
    </row>
    <row r="39" spans="1:16" ht="18.75" x14ac:dyDescent="0.3">
      <c r="A39" s="44" t="s">
        <v>185</v>
      </c>
      <c r="B39" s="44"/>
      <c r="C39" s="44"/>
      <c r="D39" s="44"/>
      <c r="E39" s="44"/>
      <c r="F39" s="44"/>
      <c r="G39" s="44"/>
      <c r="H39" s="44"/>
      <c r="I39" s="44"/>
      <c r="J39" s="44"/>
      <c r="K39" s="44"/>
      <c r="L39" s="44"/>
      <c r="M39" s="44"/>
      <c r="N39" s="44"/>
      <c r="O39" s="34"/>
      <c r="P39" s="34"/>
    </row>
    <row r="40" spans="1:16" ht="18.75" x14ac:dyDescent="0.3">
      <c r="A40" s="44"/>
      <c r="B40" s="44"/>
      <c r="C40" s="44"/>
      <c r="D40" s="44"/>
      <c r="E40" s="44"/>
      <c r="F40" s="44"/>
      <c r="G40" s="44"/>
      <c r="H40" s="44"/>
      <c r="I40" s="44"/>
      <c r="J40" s="44"/>
      <c r="K40" s="44"/>
      <c r="L40" s="44"/>
      <c r="M40" s="44"/>
      <c r="N40" s="44"/>
      <c r="O40" s="34"/>
      <c r="P40" s="34"/>
    </row>
    <row r="41" spans="1:16" ht="18.75" x14ac:dyDescent="0.3">
      <c r="A41" s="44" t="s">
        <v>192</v>
      </c>
      <c r="B41" s="44" t="s">
        <v>195</v>
      </c>
      <c r="C41" s="44"/>
      <c r="D41" s="44"/>
      <c r="E41" s="44" t="s">
        <v>219</v>
      </c>
      <c r="F41" s="44"/>
      <c r="G41" s="44"/>
      <c r="H41" s="44"/>
      <c r="I41" s="44"/>
      <c r="J41" s="44"/>
      <c r="K41" s="44"/>
      <c r="L41" s="44"/>
      <c r="M41" s="44"/>
      <c r="N41" s="44"/>
      <c r="O41" s="34"/>
      <c r="P41" s="34"/>
    </row>
    <row r="42" spans="1:16" ht="18.75" x14ac:dyDescent="0.3">
      <c r="A42" s="44" t="s">
        <v>193</v>
      </c>
      <c r="B42" s="44"/>
      <c r="C42" s="44"/>
      <c r="D42" s="44"/>
      <c r="E42" s="44" t="s">
        <v>220</v>
      </c>
      <c r="F42" s="44"/>
      <c r="G42" s="44"/>
      <c r="H42" s="44"/>
      <c r="I42" s="44"/>
      <c r="J42" s="44"/>
      <c r="K42" s="44"/>
      <c r="L42" s="44"/>
      <c r="M42" s="44"/>
      <c r="N42" s="44"/>
      <c r="O42" s="34"/>
      <c r="P42" s="34"/>
    </row>
    <row r="43" spans="1:16" ht="18.75" x14ac:dyDescent="0.3">
      <c r="A43" s="44" t="s">
        <v>190</v>
      </c>
      <c r="B43" s="44"/>
      <c r="C43" s="44"/>
      <c r="D43" s="44"/>
      <c r="E43" s="44" t="s">
        <v>218</v>
      </c>
      <c r="F43" s="44"/>
      <c r="G43" s="44"/>
      <c r="H43" s="44"/>
      <c r="I43" s="44"/>
      <c r="J43" s="44"/>
      <c r="K43" s="44"/>
      <c r="L43" s="44"/>
      <c r="M43" s="44"/>
      <c r="N43" s="44"/>
      <c r="O43" s="34"/>
      <c r="P43" s="34"/>
    </row>
    <row r="44" spans="1:16" ht="18.75" x14ac:dyDescent="0.3">
      <c r="A44" s="44" t="s">
        <v>191</v>
      </c>
      <c r="B44" s="44"/>
      <c r="C44" s="44"/>
      <c r="D44" s="44"/>
      <c r="E44" s="44"/>
      <c r="F44" s="44"/>
      <c r="G44" s="44"/>
      <c r="H44" s="44"/>
      <c r="I44" s="44"/>
      <c r="J44" s="44"/>
      <c r="K44" s="44"/>
      <c r="L44" s="44"/>
      <c r="M44" s="44"/>
      <c r="N44" s="44"/>
      <c r="O44" s="34"/>
      <c r="P44" s="34"/>
    </row>
    <row r="45" spans="1:16" ht="18.75" x14ac:dyDescent="0.3">
      <c r="A45" s="44" t="s">
        <v>194</v>
      </c>
      <c r="B45" s="44"/>
      <c r="C45" s="44"/>
      <c r="D45" s="44"/>
      <c r="E45" s="44"/>
      <c r="F45" s="44"/>
      <c r="G45" s="44"/>
      <c r="H45" s="44"/>
      <c r="I45" s="44"/>
      <c r="J45" s="44"/>
      <c r="K45" s="44"/>
      <c r="L45" s="44"/>
      <c r="M45" s="44"/>
      <c r="N45" s="44"/>
      <c r="O45" s="34"/>
      <c r="P45" s="34"/>
    </row>
    <row r="46" spans="1:16" ht="18.75" x14ac:dyDescent="0.3">
      <c r="A46" s="44"/>
      <c r="B46" s="44" t="s">
        <v>196</v>
      </c>
      <c r="C46" s="44"/>
      <c r="D46" s="44"/>
      <c r="E46" s="44"/>
      <c r="F46" s="44"/>
      <c r="G46" s="44"/>
      <c r="H46" s="44"/>
      <c r="I46" s="44"/>
      <c r="J46" s="44"/>
      <c r="K46" s="44"/>
      <c r="L46" s="44"/>
      <c r="M46" s="44"/>
      <c r="N46" s="44"/>
      <c r="O46" s="34"/>
      <c r="P46" s="34"/>
    </row>
    <row r="47" spans="1:16" ht="18.75" x14ac:dyDescent="0.3">
      <c r="A47" s="44" t="s">
        <v>208</v>
      </c>
      <c r="B47" s="44"/>
      <c r="C47" s="44"/>
      <c r="D47" s="44"/>
      <c r="E47" s="44"/>
      <c r="F47" s="44"/>
      <c r="G47" s="44"/>
      <c r="H47" s="44"/>
      <c r="I47" s="44"/>
      <c r="J47" s="44"/>
      <c r="K47" s="44"/>
      <c r="L47" s="44"/>
      <c r="M47" s="44"/>
      <c r="N47" s="44"/>
      <c r="O47" s="34"/>
      <c r="P47" s="34"/>
    </row>
    <row r="48" spans="1:16" ht="18.75" x14ac:dyDescent="0.3">
      <c r="A48" s="44"/>
      <c r="B48" s="44"/>
      <c r="C48" s="44"/>
      <c r="D48" s="44"/>
      <c r="E48" s="44"/>
      <c r="F48" s="44"/>
      <c r="G48" s="44"/>
      <c r="H48" s="44"/>
      <c r="I48" s="44"/>
      <c r="J48" s="44"/>
      <c r="K48" s="44"/>
      <c r="L48" s="44"/>
      <c r="M48" s="44"/>
      <c r="N48" s="44"/>
      <c r="O48" s="34"/>
      <c r="P48" s="34"/>
    </row>
    <row r="49" spans="1:16" ht="18.75" x14ac:dyDescent="0.3">
      <c r="A49" s="44" t="s">
        <v>937</v>
      </c>
      <c r="B49" s="44" t="s">
        <v>199</v>
      </c>
      <c r="C49" s="44"/>
      <c r="D49" s="44"/>
      <c r="E49" s="44"/>
      <c r="F49" s="44"/>
      <c r="G49" s="44"/>
      <c r="H49" s="44"/>
      <c r="I49" s="44"/>
      <c r="J49" s="44"/>
      <c r="K49" s="44"/>
      <c r="L49" s="44"/>
      <c r="M49" s="44"/>
      <c r="N49" s="44"/>
      <c r="O49" s="34"/>
      <c r="P49" s="34"/>
    </row>
    <row r="50" spans="1:16" ht="18.75" x14ac:dyDescent="0.3">
      <c r="A50" s="44" t="s">
        <v>188</v>
      </c>
      <c r="B50" s="44"/>
      <c r="C50" s="44"/>
      <c r="D50" s="44"/>
      <c r="E50" s="44"/>
      <c r="F50" s="44"/>
      <c r="G50" s="44"/>
      <c r="H50" s="44"/>
      <c r="I50" s="44"/>
      <c r="J50" s="44"/>
      <c r="K50" s="44"/>
      <c r="L50" s="44"/>
      <c r="M50" s="44"/>
      <c r="N50" s="44"/>
      <c r="O50" s="34"/>
      <c r="P50" s="34"/>
    </row>
    <row r="51" spans="1:16" ht="18.75" x14ac:dyDescent="0.3">
      <c r="A51" s="44" t="s">
        <v>185</v>
      </c>
      <c r="B51" s="44"/>
      <c r="C51" s="44"/>
      <c r="D51" s="44"/>
      <c r="E51" s="44"/>
      <c r="F51" s="44"/>
      <c r="G51" s="44"/>
      <c r="H51" s="44"/>
      <c r="I51" s="44"/>
      <c r="J51" s="44"/>
      <c r="K51" s="44"/>
      <c r="L51" s="44"/>
      <c r="M51" s="44"/>
      <c r="N51" s="44"/>
      <c r="O51" s="34"/>
      <c r="P51" s="34"/>
    </row>
    <row r="52" spans="1:16" ht="18.75" x14ac:dyDescent="0.3">
      <c r="A52" s="44"/>
      <c r="B52" s="44"/>
      <c r="C52" s="44"/>
      <c r="D52" s="44"/>
      <c r="E52" s="44"/>
      <c r="F52" s="44"/>
      <c r="G52" s="44"/>
      <c r="H52" s="44"/>
      <c r="I52" s="44"/>
      <c r="J52" s="44"/>
      <c r="K52" s="44"/>
      <c r="L52" s="44"/>
      <c r="M52" s="44"/>
      <c r="N52" s="44"/>
      <c r="O52" s="34"/>
      <c r="P52" s="34"/>
    </row>
    <row r="53" spans="1:16" ht="18.75" x14ac:dyDescent="0.3">
      <c r="A53" s="44" t="s">
        <v>201</v>
      </c>
      <c r="B53" s="44" t="s">
        <v>205</v>
      </c>
      <c r="C53" s="44"/>
      <c r="D53" s="44"/>
      <c r="E53" s="44"/>
      <c r="F53" s="44"/>
      <c r="G53" s="44"/>
      <c r="H53" s="44"/>
      <c r="I53" s="44"/>
      <c r="J53" s="44"/>
      <c r="K53" s="44"/>
      <c r="L53" s="44"/>
      <c r="M53" s="44"/>
      <c r="N53" s="44"/>
      <c r="O53" s="34"/>
      <c r="P53" s="34"/>
    </row>
    <row r="54" spans="1:16" ht="18.75" x14ac:dyDescent="0.3">
      <c r="A54" s="44" t="s">
        <v>202</v>
      </c>
      <c r="B54" s="44"/>
      <c r="C54" s="44"/>
      <c r="D54" s="44"/>
      <c r="E54" s="44"/>
      <c r="F54" s="44"/>
      <c r="G54" s="44"/>
      <c r="H54" s="44"/>
      <c r="I54" s="44"/>
      <c r="J54" s="44"/>
      <c r="K54" s="44"/>
      <c r="L54" s="44"/>
      <c r="M54" s="44"/>
      <c r="N54" s="44"/>
      <c r="O54" s="34"/>
      <c r="P54" s="34"/>
    </row>
    <row r="55" spans="1:16" ht="18.75" x14ac:dyDescent="0.3">
      <c r="A55" s="44" t="s">
        <v>203</v>
      </c>
      <c r="B55" s="44"/>
      <c r="C55" s="44"/>
      <c r="D55" s="44"/>
      <c r="E55" s="44"/>
      <c r="F55" s="44"/>
      <c r="G55" s="44"/>
      <c r="H55" s="44"/>
      <c r="I55" s="44"/>
      <c r="J55" s="44"/>
      <c r="K55" s="44"/>
      <c r="L55" s="44"/>
      <c r="M55" s="44"/>
      <c r="N55" s="44"/>
      <c r="O55" s="34"/>
      <c r="P55" s="34"/>
    </row>
    <row r="56" spans="1:16" ht="18.75" x14ac:dyDescent="0.3">
      <c r="A56" s="44" t="s">
        <v>204</v>
      </c>
      <c r="B56" s="44"/>
      <c r="C56" s="44"/>
      <c r="D56" s="44"/>
      <c r="E56" s="44"/>
      <c r="F56" s="44"/>
      <c r="G56" s="44"/>
      <c r="H56" s="44"/>
      <c r="I56" s="44"/>
      <c r="J56" s="44"/>
      <c r="K56" s="44"/>
      <c r="L56" s="44"/>
      <c r="M56" s="44"/>
      <c r="N56" s="44"/>
      <c r="O56" s="34"/>
      <c r="P56" s="34"/>
    </row>
    <row r="57" spans="1:16" ht="18.75" x14ac:dyDescent="0.3">
      <c r="A57" s="44"/>
      <c r="B57" s="44"/>
      <c r="C57" s="44"/>
      <c r="D57" s="44"/>
      <c r="E57" s="44"/>
      <c r="F57" s="44"/>
      <c r="G57" s="44"/>
      <c r="H57" s="44"/>
      <c r="I57" s="44"/>
      <c r="J57" s="44"/>
      <c r="K57" s="44"/>
      <c r="L57" s="44"/>
      <c r="M57" s="44"/>
      <c r="N57" s="44"/>
      <c r="O57" s="34"/>
      <c r="P57" s="34"/>
    </row>
    <row r="58" spans="1:16" ht="18.75" x14ac:dyDescent="0.3">
      <c r="A58" s="44" t="s">
        <v>939</v>
      </c>
      <c r="B58" s="44" t="s">
        <v>206</v>
      </c>
      <c r="C58" s="44"/>
      <c r="D58" s="44"/>
      <c r="E58" s="44"/>
      <c r="F58" s="44"/>
      <c r="G58" s="44"/>
      <c r="H58" s="44"/>
      <c r="I58" s="44"/>
      <c r="J58" s="44"/>
      <c r="K58" s="44"/>
      <c r="L58" s="44"/>
      <c r="M58" s="44"/>
      <c r="N58" s="44"/>
      <c r="O58" s="34"/>
      <c r="P58" s="34"/>
    </row>
    <row r="59" spans="1:16" ht="18.75" x14ac:dyDescent="0.3">
      <c r="A59" s="44" t="s">
        <v>937</v>
      </c>
      <c r="B59" s="44"/>
      <c r="C59" s="44"/>
      <c r="D59" s="44"/>
      <c r="E59" s="44"/>
      <c r="F59" s="44"/>
      <c r="G59" s="44"/>
      <c r="H59" s="44"/>
      <c r="I59" s="44"/>
      <c r="J59" s="44"/>
      <c r="K59" s="44"/>
      <c r="L59" s="44"/>
      <c r="M59" s="44"/>
      <c r="N59" s="44"/>
      <c r="O59" s="34"/>
      <c r="P59" s="34"/>
    </row>
    <row r="60" spans="1:16" ht="18.75" x14ac:dyDescent="0.3">
      <c r="A60" s="44" t="s">
        <v>188</v>
      </c>
      <c r="B60" s="44"/>
      <c r="C60" s="44"/>
      <c r="D60" s="44"/>
      <c r="E60" s="44"/>
      <c r="F60" s="44"/>
      <c r="G60" s="44"/>
      <c r="H60" s="44"/>
      <c r="I60" s="44"/>
      <c r="J60" s="44"/>
      <c r="K60" s="44"/>
      <c r="L60" s="44"/>
      <c r="M60" s="44"/>
      <c r="N60" s="44"/>
      <c r="O60" s="34"/>
      <c r="P60" s="34"/>
    </row>
    <row r="61" spans="1:16" ht="18.75" x14ac:dyDescent="0.3">
      <c r="A61" s="44" t="s">
        <v>185</v>
      </c>
      <c r="B61" s="44"/>
      <c r="C61" s="44"/>
      <c r="D61" s="44"/>
      <c r="E61" s="44"/>
      <c r="F61" s="44"/>
      <c r="G61" s="44"/>
      <c r="H61" s="44"/>
      <c r="I61" s="44"/>
      <c r="J61" s="44"/>
      <c r="K61" s="44"/>
      <c r="L61" s="44"/>
      <c r="M61" s="44"/>
      <c r="N61" s="44"/>
      <c r="O61" s="34"/>
      <c r="P61" s="34"/>
    </row>
    <row r="62" spans="1:16" ht="18.75" x14ac:dyDescent="0.3">
      <c r="A62" s="44"/>
      <c r="B62" s="44"/>
      <c r="C62" s="44"/>
      <c r="D62" s="44"/>
      <c r="E62" s="44"/>
      <c r="F62" s="44"/>
      <c r="G62" s="44"/>
      <c r="H62" s="44"/>
      <c r="I62" s="44"/>
      <c r="J62" s="44"/>
      <c r="K62" s="44"/>
      <c r="L62" s="44"/>
      <c r="M62" s="44"/>
      <c r="N62" s="44"/>
      <c r="O62" s="34"/>
      <c r="P62" s="34"/>
    </row>
    <row r="63" spans="1:16" ht="18.75" x14ac:dyDescent="0.3">
      <c r="A63" s="44"/>
      <c r="B63" s="44"/>
      <c r="C63" s="44"/>
      <c r="D63" s="44"/>
      <c r="E63" s="44"/>
      <c r="F63" s="44"/>
      <c r="G63" s="44"/>
      <c r="H63" s="44"/>
      <c r="I63" s="44"/>
      <c r="J63" s="44"/>
      <c r="K63" s="44"/>
      <c r="L63" s="44"/>
      <c r="M63" s="44"/>
      <c r="N63" s="44"/>
      <c r="O63" s="34"/>
      <c r="P63" s="34"/>
    </row>
    <row r="64" spans="1:16" ht="18.75" x14ac:dyDescent="0.3">
      <c r="A64" s="44" t="s">
        <v>209</v>
      </c>
      <c r="B64" s="44"/>
      <c r="C64" s="44"/>
      <c r="D64" s="44" t="s">
        <v>210</v>
      </c>
      <c r="E64" s="44"/>
      <c r="F64" s="44"/>
      <c r="G64" s="44"/>
      <c r="H64" s="44"/>
      <c r="I64" s="44"/>
      <c r="J64" s="44"/>
      <c r="K64" s="44"/>
      <c r="L64" s="44"/>
      <c r="M64" s="44"/>
      <c r="N64" s="44"/>
      <c r="O64" s="34"/>
      <c r="P64" s="34"/>
    </row>
    <row r="65" spans="1:16" ht="18.75" x14ac:dyDescent="0.3">
      <c r="A65" s="44" t="s">
        <v>222</v>
      </c>
      <c r="B65" s="44" t="s">
        <v>211</v>
      </c>
      <c r="C65" s="44"/>
      <c r="D65" s="44" t="s">
        <v>209</v>
      </c>
      <c r="E65" s="44"/>
      <c r="F65" s="44"/>
      <c r="G65" s="44"/>
      <c r="H65" s="44"/>
      <c r="I65" s="44"/>
      <c r="J65" s="44"/>
      <c r="K65" s="44"/>
      <c r="L65" s="44"/>
      <c r="M65" s="44"/>
      <c r="N65" s="44"/>
      <c r="O65" s="34"/>
      <c r="P65" s="34"/>
    </row>
    <row r="66" spans="1:16" ht="18.75" x14ac:dyDescent="0.3">
      <c r="A66" s="44" t="s">
        <v>223</v>
      </c>
      <c r="B66" s="44"/>
      <c r="C66" s="44"/>
      <c r="D66" s="44" t="s">
        <v>222</v>
      </c>
      <c r="E66" s="44"/>
      <c r="F66" s="44"/>
      <c r="G66" s="44"/>
      <c r="H66" s="44"/>
      <c r="I66" s="44"/>
      <c r="J66" s="44"/>
      <c r="K66" s="44"/>
      <c r="L66" s="44"/>
      <c r="M66" s="44"/>
      <c r="N66" s="44"/>
      <c r="O66" s="34"/>
      <c r="P66" s="34"/>
    </row>
    <row r="67" spans="1:16" ht="18.75" x14ac:dyDescent="0.3">
      <c r="A67" s="44" t="s">
        <v>224</v>
      </c>
      <c r="B67" s="44"/>
      <c r="C67" s="44"/>
      <c r="D67" s="44" t="s">
        <v>223</v>
      </c>
      <c r="E67" s="44"/>
      <c r="F67" s="44"/>
      <c r="G67" s="44"/>
      <c r="H67" s="44"/>
      <c r="I67" s="44"/>
      <c r="J67" s="44"/>
      <c r="K67" s="44"/>
      <c r="L67" s="44"/>
      <c r="M67" s="44"/>
      <c r="N67" s="44"/>
      <c r="O67" s="34"/>
      <c r="P67" s="34"/>
    </row>
    <row r="68" spans="1:16" ht="18.75" x14ac:dyDescent="0.3">
      <c r="A68" s="44" t="s">
        <v>225</v>
      </c>
      <c r="B68" s="44"/>
      <c r="C68" s="44"/>
      <c r="D68" s="44" t="s">
        <v>224</v>
      </c>
      <c r="E68" s="44"/>
      <c r="F68" s="44"/>
      <c r="G68" s="44"/>
      <c r="H68" s="44"/>
      <c r="I68" s="44"/>
      <c r="J68" s="44"/>
      <c r="K68" s="44"/>
      <c r="L68" s="44"/>
      <c r="M68" s="44"/>
      <c r="N68" s="44"/>
      <c r="O68" s="34"/>
      <c r="P68" s="34"/>
    </row>
    <row r="69" spans="1:16" ht="18.75" x14ac:dyDescent="0.3">
      <c r="A69" s="44"/>
      <c r="B69" s="44"/>
      <c r="C69" s="44"/>
      <c r="D69" s="44" t="s">
        <v>225</v>
      </c>
      <c r="E69" s="44"/>
      <c r="F69" s="44"/>
      <c r="G69" s="44"/>
      <c r="H69" s="44"/>
      <c r="I69" s="44"/>
      <c r="J69" s="44"/>
      <c r="K69" s="44"/>
      <c r="L69" s="44"/>
      <c r="M69" s="44"/>
      <c r="N69" s="44"/>
      <c r="O69" s="34"/>
      <c r="P69" s="34"/>
    </row>
    <row r="70" spans="1:16" ht="18.75" x14ac:dyDescent="0.3">
      <c r="A70" s="44" t="s">
        <v>938</v>
      </c>
      <c r="B70" s="44"/>
      <c r="C70" s="44"/>
      <c r="D70" s="44"/>
      <c r="E70" s="44"/>
      <c r="F70" s="44"/>
      <c r="G70" s="44"/>
      <c r="H70" s="44"/>
      <c r="I70" s="44"/>
      <c r="J70" s="44"/>
      <c r="K70" s="44"/>
      <c r="L70" s="44"/>
      <c r="M70" s="44"/>
      <c r="N70" s="44"/>
      <c r="O70" s="34"/>
      <c r="P70" s="34"/>
    </row>
    <row r="71" spans="1:16" ht="18.75" x14ac:dyDescent="0.3">
      <c r="A71" s="44" t="s">
        <v>182</v>
      </c>
      <c r="B71" s="44"/>
      <c r="C71" s="44"/>
      <c r="D71" s="44"/>
      <c r="E71" s="44"/>
      <c r="F71" s="44"/>
      <c r="G71" s="44"/>
      <c r="H71" s="44"/>
      <c r="I71" s="44"/>
      <c r="J71" s="44"/>
      <c r="K71" s="44"/>
      <c r="L71" s="44"/>
      <c r="M71" s="44"/>
      <c r="N71" s="44"/>
      <c r="O71" s="34"/>
      <c r="P71" s="34"/>
    </row>
    <row r="72" spans="1:16" ht="18.75" x14ac:dyDescent="0.3">
      <c r="A72" s="44" t="s">
        <v>183</v>
      </c>
      <c r="B72" s="44"/>
      <c r="C72" s="44"/>
      <c r="D72" s="44"/>
      <c r="E72" s="44"/>
      <c r="F72" s="44"/>
      <c r="G72" s="44"/>
      <c r="H72" s="44"/>
      <c r="I72" s="44"/>
      <c r="J72" s="44"/>
      <c r="K72" s="44"/>
      <c r="L72" s="44"/>
      <c r="M72" s="44"/>
      <c r="N72" s="44"/>
      <c r="O72" s="34"/>
      <c r="P72" s="34"/>
    </row>
    <row r="73" spans="1:16" ht="18.75" x14ac:dyDescent="0.3">
      <c r="A73" s="44"/>
      <c r="B73" s="44"/>
      <c r="C73" s="44"/>
      <c r="D73" s="44"/>
      <c r="E73" s="44"/>
      <c r="F73" s="44"/>
      <c r="G73" s="44"/>
      <c r="H73" s="44"/>
      <c r="I73" s="44"/>
      <c r="J73" s="44"/>
      <c r="K73" s="44"/>
      <c r="L73" s="44"/>
      <c r="M73" s="44"/>
      <c r="N73" s="44"/>
      <c r="O73" s="34"/>
      <c r="P73" s="34"/>
    </row>
    <row r="74" spans="1:16" ht="18.75" x14ac:dyDescent="0.3">
      <c r="A74" s="44" t="s">
        <v>938</v>
      </c>
      <c r="B74" s="44"/>
      <c r="C74" s="44"/>
      <c r="D74" s="44"/>
      <c r="E74" s="44"/>
      <c r="F74" s="44"/>
      <c r="G74" s="44"/>
      <c r="H74" s="44"/>
      <c r="I74" s="44"/>
      <c r="J74" s="44"/>
      <c r="K74" s="44"/>
      <c r="L74" s="44"/>
      <c r="M74" s="44"/>
      <c r="N74" s="44"/>
      <c r="O74" s="34"/>
      <c r="P74" s="34"/>
    </row>
    <row r="75" spans="1:16" ht="18.75" x14ac:dyDescent="0.3">
      <c r="A75" s="44" t="s">
        <v>939</v>
      </c>
      <c r="B75" s="44"/>
      <c r="C75" s="44"/>
      <c r="D75" s="44"/>
      <c r="E75" s="44"/>
      <c r="F75" s="44"/>
      <c r="G75" s="44"/>
      <c r="H75" s="44"/>
      <c r="I75" s="44"/>
      <c r="J75" s="44"/>
      <c r="K75" s="44"/>
      <c r="L75" s="44"/>
      <c r="M75" s="44"/>
      <c r="N75" s="44"/>
      <c r="O75" s="34"/>
      <c r="P75" s="34"/>
    </row>
    <row r="76" spans="1:16" ht="18.75" x14ac:dyDescent="0.3">
      <c r="A76" s="44" t="s">
        <v>937</v>
      </c>
      <c r="B76" s="44"/>
      <c r="C76" s="44"/>
      <c r="D76" s="44"/>
      <c r="E76" s="44"/>
      <c r="F76" s="44"/>
      <c r="G76" s="44"/>
      <c r="H76" s="44"/>
      <c r="I76" s="44"/>
      <c r="J76" s="44"/>
      <c r="K76" s="44"/>
      <c r="L76" s="44"/>
      <c r="M76" s="44"/>
      <c r="N76" s="44"/>
      <c r="O76" s="34"/>
      <c r="P76" s="34"/>
    </row>
    <row r="77" spans="1:16" ht="18.75" x14ac:dyDescent="0.3">
      <c r="A77" s="44" t="s">
        <v>188</v>
      </c>
      <c r="B77" s="44"/>
      <c r="C77" s="44"/>
      <c r="D77" s="44"/>
      <c r="E77" s="44"/>
      <c r="F77" s="44"/>
      <c r="G77" s="44"/>
      <c r="H77" s="44"/>
      <c r="I77" s="44"/>
      <c r="J77" s="44"/>
      <c r="K77" s="44"/>
      <c r="L77" s="44"/>
      <c r="M77" s="44"/>
      <c r="N77" s="44"/>
      <c r="O77" s="34"/>
      <c r="P77" s="34"/>
    </row>
    <row r="78" spans="1:16" ht="18.75" x14ac:dyDescent="0.3">
      <c r="A78" s="44" t="s">
        <v>185</v>
      </c>
      <c r="B78" s="44"/>
      <c r="C78" s="44"/>
      <c r="D78" s="44"/>
      <c r="E78" s="44"/>
      <c r="F78" s="44"/>
      <c r="G78" s="44"/>
      <c r="H78" s="44"/>
      <c r="I78" s="44"/>
      <c r="J78" s="44"/>
      <c r="K78" s="44"/>
      <c r="L78" s="44"/>
      <c r="M78" s="44"/>
      <c r="N78" s="44"/>
      <c r="O78" s="34"/>
      <c r="P78" s="34"/>
    </row>
    <row r="79" spans="1:16" ht="18.75" x14ac:dyDescent="0.3">
      <c r="A79" s="44"/>
      <c r="B79" s="44"/>
      <c r="C79" s="44"/>
      <c r="D79" s="44"/>
      <c r="E79" s="44"/>
      <c r="F79" s="44"/>
      <c r="G79" s="44"/>
      <c r="H79" s="44"/>
      <c r="I79" s="44"/>
      <c r="J79" s="44"/>
      <c r="K79" s="44"/>
      <c r="L79" s="44"/>
      <c r="M79" s="44"/>
      <c r="N79" s="44"/>
      <c r="O79" s="34"/>
      <c r="P79" s="34"/>
    </row>
    <row r="80" spans="1:16" ht="18.75" x14ac:dyDescent="0.3">
      <c r="A80" s="44" t="s">
        <v>227</v>
      </c>
      <c r="B80" s="44"/>
      <c r="C80" s="44"/>
      <c r="D80" s="44"/>
      <c r="E80" s="44"/>
      <c r="F80" s="44"/>
      <c r="G80" s="44"/>
      <c r="H80" s="44"/>
      <c r="I80" s="44"/>
      <c r="J80" s="44"/>
      <c r="K80" s="44"/>
      <c r="L80" s="44"/>
      <c r="M80" s="44"/>
      <c r="N80" s="44"/>
      <c r="O80" s="34"/>
      <c r="P80" s="34"/>
    </row>
    <row r="81" spans="1:16" ht="18.75" x14ac:dyDescent="0.3">
      <c r="A81" s="44" t="s">
        <v>226</v>
      </c>
      <c r="B81" s="44"/>
      <c r="C81" s="44"/>
      <c r="D81" s="44"/>
      <c r="E81" s="44"/>
      <c r="F81" s="44"/>
      <c r="G81" s="44"/>
      <c r="H81" s="44"/>
      <c r="I81" s="44"/>
      <c r="J81" s="44"/>
      <c r="K81" s="44"/>
      <c r="L81" s="44"/>
      <c r="M81" s="44"/>
      <c r="N81" s="44"/>
      <c r="O81" s="34"/>
      <c r="P81" s="34"/>
    </row>
    <row r="82" spans="1:16" ht="18.75" x14ac:dyDescent="0.3">
      <c r="A82" s="44" t="s">
        <v>228</v>
      </c>
      <c r="B82" s="44"/>
      <c r="C82" s="44"/>
      <c r="D82" s="44"/>
      <c r="E82" s="44"/>
      <c r="F82" s="44"/>
      <c r="G82" s="44"/>
      <c r="H82" s="44"/>
      <c r="I82" s="44"/>
      <c r="J82" s="44"/>
      <c r="K82" s="44"/>
      <c r="L82" s="44"/>
      <c r="M82" s="44"/>
      <c r="N82" s="44"/>
      <c r="O82" s="34"/>
      <c r="P82" s="34"/>
    </row>
    <row r="83" spans="1:16" ht="18.75" x14ac:dyDescent="0.3">
      <c r="A83" s="44"/>
      <c r="B83" s="44"/>
      <c r="C83" s="44"/>
      <c r="D83" s="44"/>
      <c r="E83" s="44"/>
      <c r="F83" s="44"/>
      <c r="G83" s="44"/>
      <c r="H83" s="44"/>
      <c r="I83" s="44"/>
      <c r="J83" s="44"/>
      <c r="K83" s="44"/>
      <c r="L83" s="44"/>
      <c r="M83" s="44"/>
      <c r="N83" s="44"/>
      <c r="O83" s="34"/>
      <c r="P83" s="34"/>
    </row>
    <row r="84" spans="1:16" ht="18.75" x14ac:dyDescent="0.3">
      <c r="A84" s="44" t="s">
        <v>209</v>
      </c>
      <c r="B84" s="44"/>
      <c r="C84" s="44"/>
      <c r="D84" s="44"/>
      <c r="E84" s="44"/>
      <c r="F84" s="44"/>
      <c r="G84" s="44"/>
      <c r="H84" s="44"/>
      <c r="I84" s="44"/>
      <c r="J84" s="44"/>
      <c r="K84" s="44"/>
      <c r="L84" s="44"/>
      <c r="M84" s="44"/>
      <c r="N84" s="44"/>
      <c r="O84" s="34"/>
      <c r="P84" s="34"/>
    </row>
    <row r="85" spans="1:16" ht="18.75" x14ac:dyDescent="0.3">
      <c r="A85" s="44" t="s">
        <v>222</v>
      </c>
      <c r="B85" s="44"/>
      <c r="C85" s="44"/>
      <c r="D85" s="44"/>
      <c r="E85" s="44"/>
      <c r="F85" s="44"/>
      <c r="G85" s="44"/>
      <c r="H85" s="44"/>
      <c r="I85" s="44"/>
      <c r="J85" s="44"/>
      <c r="K85" s="44"/>
      <c r="L85" s="44"/>
      <c r="M85" s="44"/>
      <c r="N85" s="44"/>
      <c r="O85" s="34"/>
      <c r="P85" s="34"/>
    </row>
    <row r="86" spans="1:16" ht="18.75" x14ac:dyDescent="0.3">
      <c r="A86" s="44" t="s">
        <v>223</v>
      </c>
      <c r="B86" s="44"/>
      <c r="C86" s="44"/>
      <c r="D86" s="44"/>
      <c r="E86" s="44"/>
      <c r="F86" s="44"/>
      <c r="G86" s="44"/>
      <c r="H86" s="44"/>
      <c r="I86" s="44"/>
      <c r="J86" s="44"/>
      <c r="K86" s="44"/>
      <c r="L86" s="44"/>
      <c r="M86" s="44"/>
      <c r="N86" s="44"/>
      <c r="O86" s="34"/>
      <c r="P86" s="34"/>
    </row>
    <row r="87" spans="1:16" ht="18.75" x14ac:dyDescent="0.3">
      <c r="A87" s="44"/>
      <c r="B87" s="44"/>
      <c r="C87" s="44"/>
      <c r="D87" s="44"/>
      <c r="E87" s="44"/>
      <c r="F87" s="44"/>
      <c r="G87" s="44"/>
      <c r="H87" s="44"/>
      <c r="I87" s="44"/>
      <c r="J87" s="44"/>
      <c r="K87" s="44"/>
      <c r="L87" s="44"/>
      <c r="M87" s="44"/>
      <c r="N87" s="44"/>
      <c r="O87" s="34"/>
      <c r="P87" s="34"/>
    </row>
    <row r="88" spans="1:16" ht="18.75" x14ac:dyDescent="0.3">
      <c r="A88" s="44" t="s">
        <v>938</v>
      </c>
      <c r="B88" s="44"/>
      <c r="C88" s="44"/>
      <c r="D88" s="44"/>
      <c r="E88" s="44"/>
      <c r="F88" s="44"/>
      <c r="G88" s="44"/>
      <c r="H88" s="44"/>
      <c r="I88" s="44"/>
      <c r="J88" s="44"/>
      <c r="K88" s="44"/>
      <c r="L88" s="44"/>
      <c r="M88" s="44"/>
      <c r="N88" s="44"/>
      <c r="O88" s="34"/>
      <c r="P88" s="34"/>
    </row>
    <row r="89" spans="1:16" ht="18.75" x14ac:dyDescent="0.3">
      <c r="A89" s="44" t="s">
        <v>235</v>
      </c>
      <c r="B89" s="44"/>
      <c r="C89" s="44"/>
      <c r="D89" s="44"/>
      <c r="E89" s="44"/>
      <c r="F89" s="44"/>
      <c r="G89" s="44"/>
      <c r="H89" s="44"/>
      <c r="I89" s="44"/>
      <c r="J89" s="44"/>
      <c r="K89" s="44"/>
      <c r="L89" s="44"/>
      <c r="M89" s="44"/>
      <c r="N89" s="44"/>
      <c r="O89" s="34"/>
      <c r="P89" s="34"/>
    </row>
    <row r="90" spans="1:16" ht="18.75" x14ac:dyDescent="0.3">
      <c r="A90" s="44"/>
      <c r="B90" s="44"/>
      <c r="C90" s="44"/>
      <c r="D90" s="44"/>
      <c r="E90" s="44"/>
      <c r="F90" s="44"/>
      <c r="G90" s="44"/>
      <c r="H90" s="44"/>
      <c r="I90" s="44"/>
      <c r="J90" s="44"/>
      <c r="K90" s="44"/>
      <c r="L90" s="44"/>
      <c r="M90" s="44"/>
      <c r="N90" s="44"/>
      <c r="O90" s="34"/>
      <c r="P90" s="34"/>
    </row>
    <row r="91" spans="1:16" ht="18.75" x14ac:dyDescent="0.3">
      <c r="A91" s="44" t="s">
        <v>209</v>
      </c>
      <c r="B91" s="44"/>
      <c r="C91" s="44"/>
      <c r="D91" s="44"/>
      <c r="E91" s="44"/>
      <c r="F91" s="44"/>
      <c r="G91" s="44"/>
      <c r="H91" s="44"/>
      <c r="I91" s="44"/>
      <c r="J91" s="44"/>
      <c r="K91" s="44"/>
      <c r="L91" s="44"/>
      <c r="M91" s="44"/>
      <c r="N91" s="44"/>
      <c r="O91" s="34"/>
      <c r="P91" s="34"/>
    </row>
    <row r="92" spans="1:16" ht="18.75" x14ac:dyDescent="0.3">
      <c r="A92" s="44" t="s">
        <v>222</v>
      </c>
      <c r="B92" s="44"/>
      <c r="C92" s="44"/>
      <c r="D92" s="44"/>
      <c r="E92" s="44"/>
      <c r="F92" s="44"/>
      <c r="G92" s="44"/>
      <c r="H92" s="44"/>
      <c r="I92" s="44"/>
      <c r="J92" s="44"/>
      <c r="K92" s="44"/>
      <c r="L92" s="44"/>
      <c r="M92" s="44"/>
      <c r="N92" s="44"/>
      <c r="O92" s="34"/>
      <c r="P92" s="34"/>
    </row>
    <row r="93" spans="1:16" ht="18.75" x14ac:dyDescent="0.3">
      <c r="A93" s="44" t="s">
        <v>223</v>
      </c>
      <c r="B93" s="44"/>
      <c r="C93" s="44"/>
      <c r="D93" s="44"/>
      <c r="E93" s="44"/>
      <c r="F93" s="44"/>
      <c r="G93" s="44"/>
      <c r="H93" s="44"/>
      <c r="I93" s="44"/>
      <c r="J93" s="44"/>
      <c r="K93" s="44"/>
      <c r="L93" s="44"/>
      <c r="M93" s="44"/>
      <c r="N93" s="44"/>
      <c r="O93" s="34"/>
      <c r="P93" s="34"/>
    </row>
    <row r="94" spans="1:16" ht="18.75" x14ac:dyDescent="0.3">
      <c r="A94" s="44" t="s">
        <v>224</v>
      </c>
      <c r="B94" s="44"/>
      <c r="C94" s="44"/>
      <c r="D94" s="44"/>
      <c r="E94" s="44"/>
      <c r="F94" s="44"/>
      <c r="G94" s="44"/>
      <c r="H94" s="44"/>
      <c r="I94" s="44"/>
      <c r="J94" s="44"/>
      <c r="K94" s="44"/>
      <c r="L94" s="44"/>
      <c r="M94" s="44"/>
      <c r="N94" s="44"/>
      <c r="O94" s="34"/>
      <c r="P94" s="34"/>
    </row>
    <row r="95" spans="1:16" ht="18.75" x14ac:dyDescent="0.3">
      <c r="A95" s="44" t="s">
        <v>225</v>
      </c>
      <c r="B95" s="44"/>
      <c r="C95" s="44"/>
      <c r="D95" s="44"/>
      <c r="E95" s="44"/>
      <c r="F95" s="44"/>
      <c r="G95" s="44"/>
      <c r="H95" s="44"/>
      <c r="I95" s="44"/>
      <c r="J95" s="44"/>
      <c r="K95" s="44"/>
      <c r="L95" s="44"/>
      <c r="M95" s="44"/>
      <c r="N95" s="44"/>
      <c r="O95" s="34"/>
      <c r="P95" s="34"/>
    </row>
    <row r="96" spans="1:16" ht="18.75" x14ac:dyDescent="0.3">
      <c r="A96" s="44"/>
      <c r="B96" s="44"/>
      <c r="C96" s="44"/>
      <c r="D96" s="44"/>
      <c r="E96" s="44"/>
      <c r="F96" s="44"/>
      <c r="G96" s="44"/>
      <c r="H96" s="44"/>
      <c r="I96" s="44"/>
      <c r="J96" s="44"/>
      <c r="K96" s="44"/>
      <c r="L96" s="44"/>
      <c r="M96" s="44"/>
      <c r="N96" s="44"/>
      <c r="O96" s="34"/>
      <c r="P96" s="34"/>
    </row>
    <row r="97" spans="1:16" ht="18.75" x14ac:dyDescent="0.3">
      <c r="A97" s="44"/>
      <c r="B97" s="44"/>
      <c r="C97" s="44"/>
      <c r="D97" s="44"/>
      <c r="E97" s="44"/>
      <c r="F97" s="44"/>
      <c r="G97" s="44"/>
      <c r="H97" s="44"/>
      <c r="I97" s="44"/>
      <c r="J97" s="44"/>
      <c r="K97" s="44"/>
      <c r="L97" s="44"/>
      <c r="M97" s="44"/>
      <c r="N97" s="44"/>
      <c r="O97" s="34"/>
      <c r="P97" s="34"/>
    </row>
    <row r="98" spans="1:16" ht="18.75" x14ac:dyDescent="0.3">
      <c r="A98" s="44" t="s">
        <v>180</v>
      </c>
      <c r="B98" s="44"/>
      <c r="C98" s="44"/>
      <c r="D98" s="44"/>
      <c r="E98" s="44"/>
      <c r="F98" s="44"/>
      <c r="G98" s="44"/>
      <c r="H98" s="44"/>
      <c r="I98" s="44"/>
      <c r="J98" s="44"/>
      <c r="K98" s="44"/>
      <c r="L98" s="44"/>
      <c r="M98" s="44"/>
      <c r="N98" s="44"/>
      <c r="O98" s="34"/>
      <c r="P98" s="34"/>
    </row>
    <row r="99" spans="1:16" ht="18.75" x14ac:dyDescent="0.3">
      <c r="A99" s="44" t="s">
        <v>181</v>
      </c>
      <c r="B99" s="44"/>
      <c r="C99" s="44"/>
      <c r="D99" s="44"/>
      <c r="E99" s="44"/>
      <c r="F99" s="44"/>
      <c r="G99" s="44"/>
      <c r="H99" s="44"/>
      <c r="I99" s="44"/>
      <c r="J99" s="44"/>
      <c r="K99" s="44"/>
      <c r="L99" s="44"/>
      <c r="M99" s="44"/>
      <c r="N99" s="44"/>
      <c r="O99" s="34"/>
      <c r="P99" s="34"/>
    </row>
    <row r="100" spans="1:16" ht="18.75" x14ac:dyDescent="0.3">
      <c r="A100" s="44" t="s">
        <v>236</v>
      </c>
      <c r="B100" s="44"/>
      <c r="C100" s="44"/>
      <c r="D100" s="44"/>
      <c r="E100" s="44"/>
      <c r="F100" s="44"/>
      <c r="G100" s="44"/>
      <c r="H100" s="44"/>
      <c r="I100" s="44"/>
      <c r="J100" s="44"/>
      <c r="K100" s="44"/>
      <c r="L100" s="44"/>
      <c r="M100" s="44"/>
      <c r="N100" s="44"/>
      <c r="O100" s="34"/>
      <c r="P100" s="34"/>
    </row>
    <row r="101" spans="1:16" ht="18.75" x14ac:dyDescent="0.3">
      <c r="A101" s="44"/>
      <c r="B101" s="44"/>
      <c r="C101" s="44"/>
      <c r="D101" s="44"/>
      <c r="E101" s="44" t="s">
        <v>238</v>
      </c>
      <c r="F101" s="44"/>
      <c r="G101" s="44"/>
      <c r="H101" s="44"/>
      <c r="I101" s="44"/>
      <c r="J101" s="44"/>
      <c r="K101" s="44"/>
      <c r="L101" s="44"/>
      <c r="M101" s="44"/>
      <c r="N101" s="44"/>
      <c r="O101" s="34"/>
      <c r="P101" s="34"/>
    </row>
    <row r="102" spans="1:16" ht="18.75" x14ac:dyDescent="0.3">
      <c r="A102" s="44" t="s">
        <v>936</v>
      </c>
      <c r="B102" s="44"/>
      <c r="C102" s="44"/>
      <c r="D102" s="44"/>
      <c r="E102" s="44"/>
      <c r="F102" s="44"/>
      <c r="G102" s="44"/>
      <c r="H102" s="44"/>
      <c r="I102" s="44"/>
      <c r="J102" s="44"/>
      <c r="K102" s="44"/>
      <c r="L102" s="44"/>
      <c r="M102" s="44"/>
      <c r="N102" s="44"/>
      <c r="O102" s="34"/>
      <c r="P102" s="34"/>
    </row>
    <row r="103" spans="1:16" ht="18.75" x14ac:dyDescent="0.3">
      <c r="A103" s="44"/>
      <c r="B103" s="44"/>
      <c r="C103" s="44"/>
      <c r="D103" s="44"/>
      <c r="E103" s="44"/>
      <c r="F103" s="44"/>
      <c r="G103" s="44"/>
      <c r="H103" s="44"/>
      <c r="I103" s="44"/>
      <c r="J103" s="44"/>
      <c r="K103" s="44"/>
      <c r="L103" s="44"/>
      <c r="M103" s="44"/>
      <c r="N103" s="44"/>
      <c r="O103" s="34"/>
      <c r="P103" s="34"/>
    </row>
    <row r="104" spans="1:16" ht="18.75" x14ac:dyDescent="0.3">
      <c r="A104" s="44"/>
      <c r="B104" s="44"/>
      <c r="C104" s="44"/>
      <c r="D104" s="44"/>
      <c r="E104" s="44"/>
      <c r="F104" s="44"/>
      <c r="G104" s="44"/>
      <c r="H104" s="44"/>
      <c r="I104" s="44"/>
      <c r="J104" s="44"/>
      <c r="K104" s="44"/>
      <c r="L104" s="44"/>
      <c r="M104" s="44"/>
      <c r="N104" s="44"/>
      <c r="O104" s="34"/>
      <c r="P104" s="34"/>
    </row>
    <row r="105" spans="1:16" ht="18.75" x14ac:dyDescent="0.3">
      <c r="A105" s="44"/>
      <c r="B105" s="44"/>
      <c r="C105" s="44"/>
      <c r="D105" s="44"/>
      <c r="E105" s="44"/>
      <c r="F105" s="44"/>
      <c r="G105" s="44"/>
      <c r="H105" s="44"/>
      <c r="I105" s="44"/>
      <c r="J105" s="44"/>
      <c r="K105" s="44"/>
      <c r="L105" s="44"/>
      <c r="M105" s="44"/>
      <c r="N105" s="44"/>
      <c r="O105" s="34"/>
      <c r="P105" s="34"/>
    </row>
    <row r="106" spans="1:16" ht="18.75" x14ac:dyDescent="0.3">
      <c r="A106" s="44" t="s">
        <v>936</v>
      </c>
      <c r="B106" s="44"/>
      <c r="C106" s="44"/>
      <c r="D106" s="44"/>
      <c r="E106" s="44"/>
      <c r="F106" s="44" t="s">
        <v>239</v>
      </c>
      <c r="G106" s="44"/>
      <c r="H106" s="44"/>
      <c r="I106" s="44"/>
      <c r="J106" s="44"/>
      <c r="K106" s="44"/>
      <c r="L106" s="44"/>
      <c r="M106" s="44"/>
      <c r="N106" s="44"/>
      <c r="O106" s="34"/>
      <c r="P106" s="34"/>
    </row>
    <row r="107" spans="1:16" ht="18.75" x14ac:dyDescent="0.3">
      <c r="A107" s="44" t="s">
        <v>937</v>
      </c>
      <c r="B107" s="44"/>
      <c r="C107" s="44"/>
      <c r="D107" s="44"/>
      <c r="E107" s="44"/>
      <c r="F107" s="44"/>
      <c r="G107" s="44"/>
      <c r="H107" s="44"/>
      <c r="I107" s="44"/>
      <c r="J107" s="44"/>
      <c r="K107" s="44"/>
      <c r="L107" s="44"/>
      <c r="M107" s="44"/>
      <c r="N107" s="44"/>
      <c r="O107" s="34"/>
      <c r="P107" s="34"/>
    </row>
    <row r="108" spans="1:16" ht="18.75" x14ac:dyDescent="0.3">
      <c r="A108" s="44" t="s">
        <v>188</v>
      </c>
      <c r="B108" s="44"/>
      <c r="C108" s="44"/>
      <c r="D108" s="44"/>
      <c r="E108" s="44"/>
      <c r="F108" s="44"/>
      <c r="G108" s="44"/>
      <c r="H108" s="44"/>
      <c r="I108" s="44"/>
      <c r="J108" s="44"/>
      <c r="K108" s="44"/>
      <c r="L108" s="44"/>
      <c r="M108" s="44"/>
      <c r="N108" s="44"/>
      <c r="O108" s="34"/>
      <c r="P108" s="34"/>
    </row>
    <row r="109" spans="1:16" ht="18.75" x14ac:dyDescent="0.3">
      <c r="A109" s="44" t="s">
        <v>185</v>
      </c>
      <c r="B109" s="44"/>
      <c r="C109" s="44"/>
      <c r="D109" s="44"/>
      <c r="E109" s="44"/>
      <c r="F109" s="44"/>
      <c r="G109" s="44"/>
      <c r="H109" s="44"/>
      <c r="I109" s="44"/>
      <c r="J109" s="44"/>
      <c r="K109" s="44"/>
      <c r="L109" s="44"/>
      <c r="M109" s="44"/>
      <c r="N109" s="44"/>
      <c r="O109" s="34"/>
      <c r="P109" s="34"/>
    </row>
    <row r="110" spans="1:16" ht="18.75" x14ac:dyDescent="0.3">
      <c r="A110" s="44"/>
      <c r="B110" s="44"/>
      <c r="C110" s="44"/>
      <c r="D110" s="44"/>
      <c r="E110" s="44"/>
      <c r="F110" s="44"/>
      <c r="G110" s="44"/>
      <c r="H110" s="44"/>
      <c r="I110" s="44"/>
      <c r="J110" s="44"/>
      <c r="K110" s="44"/>
      <c r="L110" s="44"/>
      <c r="M110" s="44"/>
      <c r="N110" s="44"/>
      <c r="O110" s="34"/>
      <c r="P110" s="34"/>
    </row>
    <row r="111" spans="1:16" ht="18.75" x14ac:dyDescent="0.3">
      <c r="A111" s="44"/>
      <c r="B111" s="44"/>
      <c r="C111" s="44"/>
      <c r="D111" s="44"/>
      <c r="E111" s="44"/>
      <c r="F111" s="44"/>
      <c r="G111" s="44"/>
      <c r="H111" s="44"/>
      <c r="I111" s="44"/>
      <c r="J111" s="44"/>
      <c r="K111" s="44"/>
      <c r="L111" s="44"/>
      <c r="M111" s="44"/>
      <c r="N111" s="44"/>
      <c r="O111" s="34"/>
      <c r="P111" s="34"/>
    </row>
    <row r="112" spans="1:16" ht="18.75" x14ac:dyDescent="0.3">
      <c r="A112" s="44" t="s">
        <v>184</v>
      </c>
      <c r="B112" s="44"/>
      <c r="C112" s="44" t="s">
        <v>240</v>
      </c>
      <c r="D112" s="44"/>
      <c r="E112" s="44"/>
      <c r="F112" s="44"/>
      <c r="G112" s="44"/>
      <c r="H112" s="44"/>
      <c r="I112" s="44"/>
      <c r="J112" s="44"/>
      <c r="K112" s="44"/>
      <c r="L112" s="44"/>
      <c r="M112" s="44"/>
      <c r="N112" s="44"/>
      <c r="O112" s="34"/>
      <c r="P112" s="34"/>
    </row>
    <row r="113" spans="1:16" ht="18.75" x14ac:dyDescent="0.3">
      <c r="A113" s="44" t="s">
        <v>182</v>
      </c>
      <c r="B113" s="44"/>
      <c r="C113" s="44"/>
      <c r="D113" s="44"/>
      <c r="E113" s="44"/>
      <c r="F113" s="44"/>
      <c r="G113" s="44"/>
      <c r="H113" s="44"/>
      <c r="I113" s="44"/>
      <c r="J113" s="44"/>
      <c r="K113" s="44"/>
      <c r="L113" s="44"/>
      <c r="M113" s="44"/>
      <c r="N113" s="44"/>
      <c r="O113" s="34"/>
      <c r="P113" s="34"/>
    </row>
    <row r="114" spans="1:16" ht="18.75" x14ac:dyDescent="0.3">
      <c r="A114" s="44" t="s">
        <v>183</v>
      </c>
      <c r="B114" s="44"/>
      <c r="C114" s="44"/>
      <c r="D114" s="44"/>
      <c r="E114" s="44"/>
      <c r="F114" s="44"/>
      <c r="G114" s="44"/>
      <c r="H114" s="44"/>
      <c r="I114" s="44"/>
      <c r="J114" s="44"/>
      <c r="K114" s="44"/>
      <c r="L114" s="44"/>
      <c r="M114" s="44"/>
      <c r="N114" s="44"/>
      <c r="O114" s="34"/>
      <c r="P114" s="34"/>
    </row>
    <row r="115" spans="1:16" ht="18.75" x14ac:dyDescent="0.3">
      <c r="A115" s="44"/>
      <c r="B115" s="44"/>
      <c r="C115" s="44"/>
      <c r="D115" s="44"/>
      <c r="E115" s="44"/>
      <c r="F115" s="44"/>
      <c r="G115" s="44"/>
      <c r="H115" s="44"/>
      <c r="I115" s="44"/>
      <c r="J115" s="44"/>
      <c r="K115" s="44"/>
      <c r="L115" s="44"/>
      <c r="M115" s="44"/>
      <c r="N115" s="44"/>
      <c r="O115" s="34"/>
      <c r="P115" s="34"/>
    </row>
    <row r="116" spans="1:16" ht="18.75" x14ac:dyDescent="0.3">
      <c r="A116" s="44"/>
      <c r="B116" s="44"/>
      <c r="C116" s="44"/>
      <c r="D116" s="44"/>
      <c r="E116" s="44"/>
      <c r="F116" s="44"/>
      <c r="G116" s="44"/>
      <c r="H116" s="44"/>
      <c r="I116" s="44"/>
      <c r="J116" s="44"/>
      <c r="K116" s="44"/>
      <c r="L116" s="44"/>
      <c r="M116" s="44"/>
      <c r="N116" s="44"/>
      <c r="O116" s="34"/>
      <c r="P116" s="34"/>
    </row>
    <row r="117" spans="1:16" ht="18.75" x14ac:dyDescent="0.3">
      <c r="A117" s="44" t="s">
        <v>207</v>
      </c>
      <c r="B117" s="44"/>
      <c r="C117" s="44" t="s">
        <v>244</v>
      </c>
      <c r="D117" s="44"/>
      <c r="E117" s="44"/>
      <c r="F117" s="44"/>
      <c r="G117" s="44"/>
      <c r="H117" s="44"/>
      <c r="I117" s="44"/>
      <c r="J117" s="44"/>
      <c r="K117" s="44"/>
      <c r="L117" s="44"/>
      <c r="M117" s="44"/>
      <c r="N117" s="44"/>
      <c r="O117" s="34"/>
      <c r="P117" s="34"/>
    </row>
    <row r="118" spans="1:16" ht="18.75" x14ac:dyDescent="0.3">
      <c r="A118" s="44" t="s">
        <v>197</v>
      </c>
      <c r="B118" s="44"/>
      <c r="C118" s="44"/>
      <c r="D118" s="44"/>
      <c r="E118" s="44"/>
      <c r="F118" s="44"/>
      <c r="G118" s="44"/>
      <c r="H118" s="44"/>
      <c r="I118" s="44"/>
      <c r="J118" s="44"/>
      <c r="K118" s="44"/>
      <c r="L118" s="44"/>
      <c r="M118" s="44"/>
      <c r="N118" s="44"/>
      <c r="O118" s="34"/>
      <c r="P118" s="34"/>
    </row>
    <row r="119" spans="1:16" ht="18.75" x14ac:dyDescent="0.3">
      <c r="A119" s="44"/>
      <c r="B119" s="44"/>
      <c r="C119" s="44"/>
      <c r="D119" s="44"/>
      <c r="E119" s="44"/>
      <c r="F119" s="44"/>
      <c r="G119" s="44"/>
      <c r="H119" s="44"/>
      <c r="I119" s="44"/>
      <c r="J119" s="44"/>
      <c r="K119" s="44"/>
      <c r="L119" s="44"/>
      <c r="M119" s="44"/>
      <c r="N119" s="44"/>
      <c r="O119" s="34"/>
      <c r="P119" s="34"/>
    </row>
    <row r="120" spans="1:16" ht="18.75" x14ac:dyDescent="0.3">
      <c r="A120" s="44"/>
      <c r="B120" s="44"/>
      <c r="C120" s="44"/>
      <c r="D120" s="44"/>
      <c r="E120" s="44"/>
      <c r="F120" s="44"/>
      <c r="G120" s="44"/>
      <c r="H120" s="44"/>
      <c r="I120" s="44"/>
      <c r="J120" s="44"/>
      <c r="K120" s="44"/>
      <c r="L120" s="44"/>
      <c r="M120" s="44"/>
      <c r="N120" s="44"/>
      <c r="O120" s="34"/>
      <c r="P120" s="34"/>
    </row>
    <row r="121" spans="1:16" ht="18.75" x14ac:dyDescent="0.3">
      <c r="A121" s="44"/>
      <c r="B121" s="44"/>
      <c r="C121" s="44"/>
      <c r="D121" s="44"/>
      <c r="E121" s="44"/>
      <c r="F121" s="44"/>
      <c r="G121" s="44"/>
      <c r="H121" s="44"/>
      <c r="I121" s="44"/>
      <c r="J121" s="44"/>
      <c r="K121" s="44"/>
      <c r="L121" s="44"/>
      <c r="M121" s="44"/>
      <c r="N121" s="44"/>
      <c r="O121" s="34"/>
      <c r="P121" s="34"/>
    </row>
    <row r="122" spans="1:16" ht="18.75" x14ac:dyDescent="0.3">
      <c r="A122" s="44" t="s">
        <v>245</v>
      </c>
      <c r="B122" s="44"/>
      <c r="C122" s="44"/>
      <c r="D122" s="44"/>
      <c r="E122" s="44"/>
      <c r="F122" s="44"/>
      <c r="G122" s="44"/>
      <c r="H122" s="44"/>
      <c r="I122" s="44"/>
      <c r="J122" s="44"/>
      <c r="K122" s="44"/>
      <c r="L122" s="44"/>
      <c r="M122" s="44"/>
      <c r="N122" s="44"/>
      <c r="O122" s="34"/>
      <c r="P122" s="34"/>
    </row>
    <row r="123" spans="1:16" ht="18.75" x14ac:dyDescent="0.3">
      <c r="A123" s="44" t="s">
        <v>202</v>
      </c>
      <c r="B123" s="44"/>
      <c r="C123" s="44" t="s">
        <v>248</v>
      </c>
      <c r="D123" s="44"/>
      <c r="E123" s="44"/>
      <c r="F123" s="44"/>
      <c r="G123" s="44"/>
      <c r="H123" s="44"/>
      <c r="I123" s="44"/>
      <c r="J123" s="44"/>
      <c r="K123" s="44"/>
      <c r="L123" s="44"/>
      <c r="M123" s="44"/>
      <c r="N123" s="44"/>
      <c r="O123" s="34"/>
      <c r="P123" s="34"/>
    </row>
    <row r="124" spans="1:16" ht="18.75" x14ac:dyDescent="0.3">
      <c r="A124" s="44" t="s">
        <v>246</v>
      </c>
      <c r="B124" s="44"/>
      <c r="C124" s="44" t="s">
        <v>249</v>
      </c>
      <c r="D124" s="44"/>
      <c r="E124" s="44"/>
      <c r="F124" s="44"/>
      <c r="G124" s="44"/>
      <c r="H124" s="44"/>
      <c r="I124" s="44"/>
      <c r="J124" s="44"/>
      <c r="K124" s="44"/>
      <c r="L124" s="44"/>
      <c r="M124" s="44"/>
      <c r="N124" s="44"/>
      <c r="O124" s="34"/>
      <c r="P124" s="34"/>
    </row>
    <row r="125" spans="1:16" ht="18.75" x14ac:dyDescent="0.3">
      <c r="A125" s="44" t="s">
        <v>247</v>
      </c>
      <c r="B125" s="44"/>
      <c r="C125" s="44"/>
      <c r="D125" s="44"/>
      <c r="E125" s="44"/>
      <c r="F125" s="44"/>
      <c r="G125" s="44"/>
      <c r="H125" s="44"/>
      <c r="I125" s="44"/>
      <c r="J125" s="44"/>
      <c r="K125" s="44"/>
      <c r="L125" s="44"/>
      <c r="M125" s="44"/>
      <c r="N125" s="44"/>
      <c r="O125" s="34"/>
      <c r="P125" s="34"/>
    </row>
    <row r="126" spans="1:16" ht="18.75" x14ac:dyDescent="0.3">
      <c r="A126" s="44"/>
      <c r="B126" s="44"/>
      <c r="C126" s="44"/>
      <c r="D126" s="44"/>
      <c r="E126" s="44"/>
      <c r="F126" s="44"/>
      <c r="G126" s="44"/>
      <c r="H126" s="44"/>
      <c r="I126" s="44"/>
      <c r="J126" s="44"/>
      <c r="K126" s="44"/>
      <c r="L126" s="44"/>
      <c r="M126" s="44"/>
      <c r="N126" s="44"/>
      <c r="O126" s="34"/>
      <c r="P126" s="34"/>
    </row>
    <row r="127" spans="1:16" ht="18.75" x14ac:dyDescent="0.3">
      <c r="A127" s="44"/>
      <c r="B127" s="44" t="s">
        <v>258</v>
      </c>
      <c r="C127" s="44"/>
      <c r="D127" s="44"/>
      <c r="E127" s="44"/>
      <c r="F127" s="44"/>
      <c r="G127" s="44"/>
      <c r="H127" s="44"/>
      <c r="I127" s="44"/>
      <c r="J127" s="44"/>
      <c r="K127" s="44"/>
      <c r="L127" s="44"/>
      <c r="M127" s="44"/>
      <c r="N127" s="44"/>
      <c r="O127" s="34"/>
      <c r="P127" s="34"/>
    </row>
    <row r="128" spans="1:16" ht="18.75" x14ac:dyDescent="0.3">
      <c r="A128" s="44" t="s">
        <v>182</v>
      </c>
      <c r="B128" s="44"/>
      <c r="C128" s="44"/>
      <c r="D128" s="44"/>
      <c r="E128" s="44"/>
      <c r="F128" s="44"/>
      <c r="G128" s="44"/>
      <c r="H128" s="44"/>
      <c r="I128" s="44"/>
      <c r="J128" s="44"/>
      <c r="K128" s="44"/>
      <c r="L128" s="44"/>
      <c r="M128" s="44"/>
      <c r="N128" s="44"/>
      <c r="O128" s="34"/>
      <c r="P128" s="34"/>
    </row>
    <row r="129" spans="1:16" ht="18.75" x14ac:dyDescent="0.3">
      <c r="A129" s="44" t="s">
        <v>257</v>
      </c>
      <c r="B129" s="44"/>
      <c r="C129" s="44"/>
      <c r="D129" s="44"/>
      <c r="E129" s="44"/>
      <c r="F129" s="44"/>
      <c r="G129" s="44"/>
      <c r="H129" s="44"/>
      <c r="I129" s="44"/>
      <c r="J129" s="44"/>
      <c r="K129" s="44"/>
      <c r="L129" s="44"/>
      <c r="M129" s="44"/>
      <c r="N129" s="44"/>
      <c r="O129" s="34"/>
      <c r="P129" s="34"/>
    </row>
    <row r="130" spans="1:16" ht="18.75" x14ac:dyDescent="0.3">
      <c r="A130" s="44"/>
      <c r="B130" s="44"/>
      <c r="C130" s="44"/>
      <c r="D130" s="44"/>
      <c r="E130" s="44"/>
      <c r="F130" s="44"/>
      <c r="G130" s="44"/>
      <c r="H130" s="44"/>
      <c r="I130" s="44"/>
      <c r="J130" s="44"/>
      <c r="K130" s="44"/>
      <c r="L130" s="44"/>
      <c r="M130" s="44"/>
      <c r="N130" s="44"/>
      <c r="O130" s="34"/>
      <c r="P130" s="34"/>
    </row>
    <row r="131" spans="1:16" ht="18.75" x14ac:dyDescent="0.3">
      <c r="A131" s="44" t="s">
        <v>262</v>
      </c>
      <c r="B131" s="44"/>
      <c r="C131" s="44" t="s">
        <v>265</v>
      </c>
      <c r="D131" s="44"/>
      <c r="E131" s="44"/>
      <c r="F131" s="44"/>
      <c r="G131" s="44"/>
      <c r="H131" s="44"/>
      <c r="I131" s="44"/>
      <c r="J131" s="44"/>
      <c r="K131" s="44"/>
      <c r="L131" s="44"/>
      <c r="M131" s="44"/>
      <c r="N131" s="44"/>
      <c r="O131" s="34"/>
      <c r="P131" s="34"/>
    </row>
    <row r="132" spans="1:16" ht="18.75" x14ac:dyDescent="0.3">
      <c r="A132" s="44" t="s">
        <v>263</v>
      </c>
      <c r="B132" s="44"/>
      <c r="C132" s="44"/>
      <c r="D132" s="44"/>
      <c r="E132" s="44"/>
      <c r="F132" s="44"/>
      <c r="G132" s="44"/>
      <c r="H132" s="44"/>
      <c r="I132" s="44"/>
      <c r="J132" s="44"/>
      <c r="K132" s="44"/>
      <c r="L132" s="44"/>
      <c r="M132" s="44"/>
      <c r="N132" s="44"/>
      <c r="O132" s="34"/>
      <c r="P132" s="34"/>
    </row>
    <row r="133" spans="1:16" ht="18.75" x14ac:dyDescent="0.3">
      <c r="A133" s="44" t="s">
        <v>264</v>
      </c>
      <c r="B133" s="44"/>
      <c r="C133" s="44"/>
      <c r="D133" s="44"/>
      <c r="E133" s="44"/>
      <c r="F133" s="44"/>
      <c r="G133" s="44"/>
      <c r="H133" s="44"/>
      <c r="I133" s="44"/>
      <c r="J133" s="44"/>
      <c r="K133" s="44"/>
      <c r="L133" s="44"/>
      <c r="M133" s="44"/>
      <c r="N133" s="44"/>
      <c r="O133" s="34"/>
      <c r="P133" s="34"/>
    </row>
    <row r="134" spans="1:16" ht="18.75" x14ac:dyDescent="0.3">
      <c r="A134" s="44" t="s">
        <v>194</v>
      </c>
      <c r="B134" s="44"/>
      <c r="C134" s="44"/>
      <c r="D134" s="44"/>
      <c r="E134" s="44"/>
      <c r="F134" s="44"/>
      <c r="G134" s="44"/>
      <c r="H134" s="44"/>
      <c r="I134" s="44"/>
      <c r="J134" s="44"/>
      <c r="K134" s="44"/>
      <c r="L134" s="44"/>
      <c r="M134" s="44"/>
      <c r="N134" s="44"/>
      <c r="O134" s="34"/>
      <c r="P134" s="34"/>
    </row>
    <row r="135" spans="1:16" ht="18.75" x14ac:dyDescent="0.3">
      <c r="A135" s="44"/>
      <c r="B135" s="44"/>
      <c r="C135" s="44"/>
      <c r="D135" s="44"/>
      <c r="E135" s="44"/>
      <c r="F135" s="44"/>
      <c r="G135" s="44"/>
      <c r="H135" s="44"/>
      <c r="I135" s="44"/>
      <c r="J135" s="44"/>
      <c r="K135" s="44"/>
      <c r="L135" s="44"/>
      <c r="M135" s="44"/>
      <c r="N135" s="44"/>
      <c r="O135" s="34"/>
      <c r="P135" s="34"/>
    </row>
    <row r="136" spans="1:16" ht="18.75" x14ac:dyDescent="0.3">
      <c r="A136" s="44"/>
      <c r="B136" s="44"/>
      <c r="C136" s="44"/>
      <c r="D136" s="44"/>
      <c r="E136" s="44"/>
      <c r="F136" s="44"/>
      <c r="G136" s="44"/>
      <c r="H136" s="44"/>
      <c r="I136" s="44"/>
      <c r="J136" s="44"/>
      <c r="K136" s="44"/>
      <c r="L136" s="44"/>
      <c r="M136" s="44"/>
      <c r="N136" s="44"/>
      <c r="O136" s="34"/>
      <c r="P136" s="34"/>
    </row>
    <row r="137" spans="1:16" ht="18.75" x14ac:dyDescent="0.3">
      <c r="A137" s="44" t="s">
        <v>262</v>
      </c>
      <c r="B137" s="44"/>
      <c r="C137" s="44" t="s">
        <v>266</v>
      </c>
      <c r="D137" s="44"/>
      <c r="E137" s="44"/>
      <c r="F137" s="44"/>
      <c r="G137" s="44"/>
      <c r="H137" s="44"/>
      <c r="I137" s="44"/>
      <c r="J137" s="44"/>
      <c r="K137" s="44"/>
      <c r="L137" s="44"/>
      <c r="M137" s="44"/>
      <c r="N137" s="44"/>
      <c r="O137" s="34"/>
      <c r="P137" s="34"/>
    </row>
    <row r="138" spans="1:16" ht="18.75" x14ac:dyDescent="0.3">
      <c r="A138" s="44" t="s">
        <v>263</v>
      </c>
      <c r="B138" s="44"/>
      <c r="C138" s="44"/>
      <c r="D138" s="44"/>
      <c r="E138" s="44"/>
      <c r="F138" s="44"/>
      <c r="G138" s="44"/>
      <c r="H138" s="44"/>
      <c r="I138" s="44"/>
      <c r="J138" s="44"/>
      <c r="K138" s="44"/>
      <c r="L138" s="44"/>
      <c r="M138" s="44"/>
      <c r="N138" s="44"/>
      <c r="O138" s="34"/>
      <c r="P138" s="34"/>
    </row>
    <row r="139" spans="1:16" ht="18.75" x14ac:dyDescent="0.3">
      <c r="A139" s="44" t="s">
        <v>264</v>
      </c>
      <c r="B139" s="44"/>
      <c r="C139" s="44"/>
      <c r="D139" s="44"/>
      <c r="E139" s="44"/>
      <c r="F139" s="44"/>
      <c r="G139" s="44"/>
      <c r="H139" s="44"/>
      <c r="I139" s="44"/>
      <c r="J139" s="44"/>
      <c r="K139" s="44"/>
      <c r="L139" s="44"/>
      <c r="M139" s="44"/>
      <c r="N139" s="44"/>
      <c r="O139" s="34"/>
      <c r="P139" s="34"/>
    </row>
    <row r="140" spans="1:16" ht="18.75" x14ac:dyDescent="0.3">
      <c r="A140" s="44" t="s">
        <v>269</v>
      </c>
      <c r="B140" s="44"/>
      <c r="C140" s="44"/>
      <c r="D140" s="44"/>
      <c r="E140" s="44"/>
      <c r="F140" s="44"/>
      <c r="G140" s="44"/>
      <c r="H140" s="44"/>
      <c r="I140" s="44"/>
      <c r="J140" s="44"/>
      <c r="K140" s="44"/>
      <c r="L140" s="44"/>
      <c r="M140" s="44"/>
      <c r="N140" s="44"/>
      <c r="O140" s="34"/>
      <c r="P140" s="34"/>
    </row>
    <row r="141" spans="1:16" ht="18.75" x14ac:dyDescent="0.3">
      <c r="A141" s="44"/>
      <c r="B141" s="44"/>
      <c r="C141" s="44"/>
      <c r="D141" s="44"/>
      <c r="E141" s="44"/>
      <c r="F141" s="44"/>
      <c r="G141" s="44"/>
      <c r="H141" s="44"/>
      <c r="I141" s="44"/>
      <c r="J141" s="44"/>
      <c r="K141" s="44"/>
      <c r="L141" s="44"/>
      <c r="M141" s="44"/>
      <c r="N141" s="44"/>
      <c r="O141" s="34"/>
      <c r="P141" s="34"/>
    </row>
    <row r="142" spans="1:16" ht="18.75" x14ac:dyDescent="0.3">
      <c r="A142" s="44"/>
      <c r="B142" s="44"/>
      <c r="C142" s="44"/>
      <c r="D142" s="44"/>
      <c r="E142" s="44"/>
      <c r="F142" s="44"/>
      <c r="G142" s="44"/>
      <c r="H142" s="44"/>
      <c r="I142" s="44"/>
      <c r="J142" s="44"/>
      <c r="K142" s="44"/>
      <c r="L142" s="44"/>
      <c r="M142" s="44"/>
      <c r="N142" s="44"/>
      <c r="O142" s="34"/>
      <c r="P142" s="34"/>
    </row>
    <row r="143" spans="1:16" ht="18.75" x14ac:dyDescent="0.3">
      <c r="A143" s="44" t="s">
        <v>267</v>
      </c>
      <c r="B143" s="44"/>
      <c r="C143" s="44"/>
      <c r="D143" s="44"/>
      <c r="E143" s="44"/>
      <c r="F143" s="44"/>
      <c r="G143" s="44"/>
      <c r="H143" s="44"/>
      <c r="I143" s="44"/>
      <c r="J143" s="44"/>
      <c r="K143" s="44"/>
      <c r="L143" s="44"/>
      <c r="M143" s="44"/>
      <c r="N143" s="44"/>
      <c r="O143" s="34"/>
      <c r="P143" s="34"/>
    </row>
    <row r="144" spans="1:16" ht="18.75" x14ac:dyDescent="0.3">
      <c r="A144" s="44" t="s">
        <v>268</v>
      </c>
      <c r="B144" s="44"/>
      <c r="C144" s="44"/>
      <c r="D144" s="44"/>
      <c r="E144" s="44"/>
      <c r="F144" s="44"/>
      <c r="G144" s="44"/>
      <c r="H144" s="44"/>
      <c r="I144" s="44"/>
      <c r="J144" s="44"/>
      <c r="K144" s="44"/>
      <c r="L144" s="44"/>
      <c r="M144" s="44"/>
      <c r="N144" s="44"/>
      <c r="O144" s="34"/>
      <c r="P144" s="34"/>
    </row>
    <row r="145" spans="1:16" ht="18.75" x14ac:dyDescent="0.3">
      <c r="A145" s="44" t="s">
        <v>270</v>
      </c>
      <c r="B145" s="44"/>
      <c r="C145" s="44" t="s">
        <v>272</v>
      </c>
      <c r="D145" s="44"/>
      <c r="E145" s="44"/>
      <c r="F145" s="44"/>
      <c r="G145" s="44"/>
      <c r="H145" s="44"/>
      <c r="I145" s="44"/>
      <c r="J145" s="44"/>
      <c r="K145" s="44"/>
      <c r="L145" s="44"/>
      <c r="M145" s="44"/>
      <c r="N145" s="44"/>
      <c r="O145" s="34"/>
      <c r="P145" s="34"/>
    </row>
    <row r="146" spans="1:16" ht="18.75" x14ac:dyDescent="0.3">
      <c r="A146" s="44" t="s">
        <v>263</v>
      </c>
      <c r="B146" s="44"/>
      <c r="C146" s="44"/>
      <c r="D146" s="44"/>
      <c r="E146" s="44"/>
      <c r="F146" s="44"/>
      <c r="G146" s="44"/>
      <c r="H146" s="44"/>
      <c r="I146" s="44"/>
      <c r="J146" s="44"/>
      <c r="K146" s="44"/>
      <c r="L146" s="44"/>
      <c r="M146" s="44"/>
      <c r="N146" s="44"/>
      <c r="O146" s="34"/>
      <c r="P146" s="34"/>
    </row>
    <row r="147" spans="1:16" ht="18.75" x14ac:dyDescent="0.3">
      <c r="A147" s="44" t="s">
        <v>271</v>
      </c>
      <c r="B147" s="44"/>
      <c r="C147" s="44"/>
      <c r="D147" s="44"/>
      <c r="E147" s="44"/>
      <c r="F147" s="44"/>
      <c r="G147" s="44"/>
      <c r="H147" s="44"/>
      <c r="I147" s="44"/>
      <c r="J147" s="44"/>
      <c r="K147" s="44"/>
      <c r="L147" s="44"/>
      <c r="M147" s="44"/>
      <c r="N147" s="44"/>
      <c r="O147" s="34"/>
      <c r="P147" s="34"/>
    </row>
    <row r="148" spans="1:16" ht="18.75" x14ac:dyDescent="0.3">
      <c r="A148" s="44" t="s">
        <v>269</v>
      </c>
      <c r="B148" s="44"/>
      <c r="C148" s="44"/>
      <c r="D148" s="44"/>
      <c r="E148" s="44"/>
      <c r="F148" s="44"/>
      <c r="G148" s="44"/>
      <c r="H148" s="44"/>
      <c r="I148" s="44"/>
      <c r="J148" s="44"/>
      <c r="K148" s="44"/>
      <c r="L148" s="44"/>
      <c r="M148" s="44"/>
      <c r="N148" s="44"/>
      <c r="O148" s="34"/>
      <c r="P148" s="34"/>
    </row>
    <row r="149" spans="1:16" ht="18.75" x14ac:dyDescent="0.3">
      <c r="A149" s="44"/>
      <c r="B149" s="44"/>
      <c r="C149" s="44"/>
      <c r="D149" s="44"/>
      <c r="E149" s="44"/>
      <c r="F149" s="44"/>
      <c r="G149" s="44"/>
      <c r="H149" s="44"/>
      <c r="I149" s="44"/>
      <c r="J149" s="44"/>
      <c r="K149" s="44"/>
      <c r="L149" s="44"/>
      <c r="M149" s="44"/>
      <c r="N149" s="44"/>
      <c r="O149" s="34"/>
      <c r="P149" s="34"/>
    </row>
    <row r="150" spans="1:16" ht="18.75" x14ac:dyDescent="0.3">
      <c r="A150" s="44"/>
      <c r="B150" s="44"/>
      <c r="C150" s="44"/>
      <c r="D150" s="44"/>
      <c r="E150" s="44"/>
      <c r="F150" s="44"/>
      <c r="G150" s="44"/>
      <c r="H150" s="44"/>
      <c r="I150" s="44"/>
      <c r="J150" s="44"/>
      <c r="K150" s="44"/>
      <c r="L150" s="44"/>
      <c r="M150" s="44"/>
      <c r="N150" s="44"/>
      <c r="O150" s="34"/>
      <c r="P150" s="34"/>
    </row>
    <row r="151" spans="1:16" ht="18.75" x14ac:dyDescent="0.3">
      <c r="A151" s="44" t="s">
        <v>276</v>
      </c>
      <c r="B151" s="44"/>
      <c r="C151" s="44" t="s">
        <v>278</v>
      </c>
      <c r="D151" s="44"/>
      <c r="E151" s="44"/>
      <c r="F151" s="44"/>
      <c r="G151" s="44"/>
      <c r="H151" s="44"/>
      <c r="I151" s="44"/>
      <c r="J151" s="44"/>
      <c r="K151" s="44"/>
      <c r="L151" s="44"/>
      <c r="M151" s="44"/>
      <c r="N151" s="44"/>
      <c r="O151" s="34"/>
      <c r="P151" s="34"/>
    </row>
    <row r="152" spans="1:16" ht="18.75" x14ac:dyDescent="0.3">
      <c r="A152" s="44" t="s">
        <v>277</v>
      </c>
      <c r="B152" s="44"/>
      <c r="C152" s="44"/>
      <c r="D152" s="44"/>
      <c r="E152" s="44"/>
      <c r="F152" s="44"/>
      <c r="G152" s="44"/>
      <c r="H152" s="44"/>
      <c r="I152" s="44"/>
      <c r="J152" s="44"/>
      <c r="K152" s="44"/>
      <c r="L152" s="44"/>
      <c r="M152" s="44"/>
      <c r="N152" s="44"/>
      <c r="O152" s="34"/>
      <c r="P152" s="34"/>
    </row>
    <row r="153" spans="1:16" ht="18.75" x14ac:dyDescent="0.3">
      <c r="A153" s="44"/>
      <c r="B153" s="44"/>
      <c r="C153" s="44"/>
      <c r="D153" s="44"/>
      <c r="E153" s="44"/>
      <c r="F153" s="44"/>
      <c r="G153" s="44"/>
      <c r="H153" s="44"/>
      <c r="I153" s="44"/>
      <c r="J153" s="44"/>
      <c r="K153" s="44"/>
      <c r="L153" s="44"/>
      <c r="M153" s="44"/>
      <c r="N153" s="44"/>
      <c r="O153" s="34"/>
      <c r="P153" s="34"/>
    </row>
    <row r="154" spans="1:16" ht="18.75" x14ac:dyDescent="0.3">
      <c r="A154" s="44"/>
      <c r="B154" s="44"/>
      <c r="C154" s="44"/>
      <c r="D154" s="44"/>
      <c r="E154" s="44"/>
      <c r="F154" s="44"/>
      <c r="G154" s="44"/>
      <c r="H154" s="44"/>
      <c r="I154" s="44"/>
      <c r="J154" s="44"/>
      <c r="K154" s="44"/>
      <c r="L154" s="44"/>
      <c r="M154" s="44"/>
      <c r="N154" s="44"/>
      <c r="O154" s="34"/>
      <c r="P154" s="34"/>
    </row>
    <row r="155" spans="1:16" ht="18.75" x14ac:dyDescent="0.3">
      <c r="A155" s="44" t="s">
        <v>276</v>
      </c>
      <c r="B155" s="44"/>
      <c r="C155" s="44"/>
      <c r="D155" s="44"/>
      <c r="E155" s="44"/>
      <c r="F155" s="44"/>
      <c r="G155" s="44"/>
      <c r="H155" s="44"/>
      <c r="I155" s="44"/>
      <c r="J155" s="44"/>
      <c r="K155" s="44"/>
      <c r="L155" s="44"/>
      <c r="M155" s="44"/>
      <c r="N155" s="44"/>
      <c r="O155" s="34"/>
      <c r="P155" s="34"/>
    </row>
    <row r="156" spans="1:16" ht="18.75" x14ac:dyDescent="0.3">
      <c r="A156" s="44" t="s">
        <v>277</v>
      </c>
      <c r="B156" s="44"/>
      <c r="C156" s="44"/>
      <c r="D156" s="44"/>
      <c r="E156" s="44"/>
      <c r="F156" s="44"/>
      <c r="G156" s="44"/>
      <c r="H156" s="44"/>
      <c r="I156" s="44"/>
      <c r="J156" s="44"/>
      <c r="K156" s="44"/>
      <c r="L156" s="44"/>
      <c r="M156" s="44"/>
      <c r="N156" s="44"/>
      <c r="O156" s="34"/>
      <c r="P156" s="34"/>
    </row>
    <row r="157" spans="1:16" ht="18.75" x14ac:dyDescent="0.3">
      <c r="A157" s="44"/>
      <c r="B157" s="44"/>
      <c r="C157" s="44"/>
      <c r="D157" s="44"/>
      <c r="E157" s="44"/>
      <c r="F157" s="44"/>
      <c r="G157" s="44"/>
      <c r="H157" s="44"/>
      <c r="I157" s="44"/>
      <c r="J157" s="44"/>
      <c r="K157" s="44"/>
      <c r="L157" s="44"/>
      <c r="M157" s="44"/>
      <c r="N157" s="44"/>
      <c r="O157" s="34"/>
      <c r="P157" s="34"/>
    </row>
    <row r="158" spans="1:16" ht="18.75" x14ac:dyDescent="0.3">
      <c r="A158" s="44"/>
      <c r="B158" s="44"/>
      <c r="C158" s="44"/>
      <c r="D158" s="44"/>
      <c r="E158" s="44"/>
      <c r="F158" s="44"/>
      <c r="G158" s="44"/>
      <c r="H158" s="44"/>
      <c r="I158" s="44"/>
      <c r="J158" s="44"/>
      <c r="K158" s="44"/>
      <c r="L158" s="44"/>
      <c r="M158" s="44"/>
      <c r="N158" s="44"/>
      <c r="O158" s="34"/>
      <c r="P158" s="34"/>
    </row>
    <row r="159" spans="1:16" ht="18.75" x14ac:dyDescent="0.3">
      <c r="A159" s="44" t="s">
        <v>279</v>
      </c>
      <c r="B159" s="44"/>
      <c r="C159" s="44" t="s">
        <v>281</v>
      </c>
      <c r="D159" s="44"/>
      <c r="E159" s="44"/>
      <c r="F159" s="44"/>
      <c r="G159" s="44"/>
      <c r="H159" s="44"/>
      <c r="I159" s="44"/>
      <c r="J159" s="44"/>
      <c r="K159" s="44"/>
      <c r="L159" s="44"/>
      <c r="M159" s="44"/>
      <c r="N159" s="44"/>
      <c r="O159" s="34"/>
      <c r="P159" s="34"/>
    </row>
    <row r="160" spans="1:16" ht="18.75" x14ac:dyDescent="0.3">
      <c r="A160" s="44" t="s">
        <v>280</v>
      </c>
      <c r="B160" s="44"/>
      <c r="C160" s="44"/>
      <c r="D160" s="44"/>
      <c r="E160" s="44"/>
      <c r="F160" s="44"/>
      <c r="G160" s="44"/>
      <c r="H160" s="44"/>
      <c r="I160" s="44"/>
      <c r="J160" s="44"/>
      <c r="K160" s="44"/>
      <c r="L160" s="44"/>
      <c r="M160" s="44"/>
      <c r="N160" s="44"/>
      <c r="O160" s="34"/>
      <c r="P160" s="34"/>
    </row>
    <row r="161" spans="1:16" ht="18.75" x14ac:dyDescent="0.3">
      <c r="A161" s="44"/>
      <c r="B161" s="44"/>
      <c r="C161" s="44"/>
      <c r="D161" s="44"/>
      <c r="E161" s="44"/>
      <c r="F161" s="44"/>
      <c r="G161" s="44"/>
      <c r="H161" s="44"/>
      <c r="I161" s="44"/>
      <c r="J161" s="44"/>
      <c r="K161" s="44"/>
      <c r="L161" s="44"/>
      <c r="M161" s="44"/>
      <c r="N161" s="44"/>
      <c r="O161" s="34"/>
      <c r="P161" s="34"/>
    </row>
    <row r="162" spans="1:16" ht="18.75" x14ac:dyDescent="0.3">
      <c r="A162" s="44"/>
      <c r="B162" s="44"/>
      <c r="C162" s="44"/>
      <c r="D162" s="44"/>
      <c r="E162" s="44"/>
      <c r="F162" s="44"/>
      <c r="G162" s="44"/>
      <c r="H162" s="44"/>
      <c r="I162" s="44"/>
      <c r="J162" s="44"/>
      <c r="K162" s="44"/>
      <c r="L162" s="44"/>
      <c r="M162" s="44"/>
      <c r="N162" s="44"/>
      <c r="O162" s="34"/>
      <c r="P162" s="34"/>
    </row>
    <row r="163" spans="1:16" ht="18.75" x14ac:dyDescent="0.3">
      <c r="A163" s="45" t="s">
        <v>935</v>
      </c>
      <c r="B163" s="44"/>
      <c r="C163" s="44"/>
      <c r="D163" s="44"/>
      <c r="E163" s="44"/>
      <c r="F163" s="44"/>
      <c r="G163" s="44"/>
      <c r="H163" s="44"/>
      <c r="I163" s="44"/>
      <c r="J163" s="44"/>
      <c r="K163" s="44"/>
      <c r="L163" s="44"/>
      <c r="M163" s="44"/>
      <c r="N163" s="44"/>
      <c r="O163" s="34"/>
      <c r="P163" s="34"/>
    </row>
    <row r="164" spans="1:16" ht="18.75" x14ac:dyDescent="0.3">
      <c r="A164" s="44" t="s">
        <v>934</v>
      </c>
      <c r="B164" s="44"/>
      <c r="C164" s="44"/>
      <c r="D164" s="44"/>
      <c r="E164" s="44"/>
      <c r="F164" s="44"/>
      <c r="G164" s="44"/>
      <c r="H164" s="44"/>
      <c r="I164" s="44"/>
      <c r="J164" s="44"/>
      <c r="K164" s="44"/>
      <c r="L164" s="44"/>
      <c r="M164" s="44"/>
      <c r="N164" s="44"/>
      <c r="O164" s="34"/>
      <c r="P164" s="34"/>
    </row>
    <row r="165" spans="1:16" ht="18.75" x14ac:dyDescent="0.3">
      <c r="A165" s="44" t="s">
        <v>933</v>
      </c>
      <c r="B165" s="44" t="s">
        <v>282</v>
      </c>
      <c r="C165" s="44"/>
      <c r="D165" s="44"/>
      <c r="E165" s="44"/>
      <c r="F165" s="44"/>
      <c r="G165" s="44"/>
      <c r="H165" s="44"/>
      <c r="I165" s="44"/>
      <c r="J165" s="44"/>
      <c r="K165" s="44"/>
      <c r="L165" s="44"/>
      <c r="M165" s="44"/>
      <c r="N165" s="44"/>
      <c r="O165" s="34"/>
      <c r="P165" s="34"/>
    </row>
    <row r="166" spans="1:16" ht="18.75" x14ac:dyDescent="0.3">
      <c r="A166" s="44"/>
      <c r="B166" s="44"/>
      <c r="C166" s="44"/>
      <c r="D166" s="44"/>
      <c r="E166" s="44"/>
      <c r="F166" s="44"/>
      <c r="G166" s="44"/>
      <c r="H166" s="44"/>
      <c r="I166" s="44"/>
      <c r="J166" s="44"/>
      <c r="K166" s="44"/>
      <c r="L166" s="44"/>
      <c r="M166" s="44"/>
      <c r="N166" s="44"/>
      <c r="O166" s="34"/>
      <c r="P166" s="34"/>
    </row>
    <row r="167" spans="1:16" ht="18.75" x14ac:dyDescent="0.3">
      <c r="A167" s="44"/>
      <c r="B167" s="44"/>
      <c r="C167" s="44"/>
      <c r="D167" s="44"/>
      <c r="E167" s="44"/>
      <c r="F167" s="44"/>
      <c r="G167" s="44"/>
      <c r="H167" s="44"/>
      <c r="I167" s="44"/>
      <c r="J167" s="44"/>
      <c r="K167" s="44"/>
      <c r="L167" s="44"/>
      <c r="M167" s="44"/>
      <c r="N167" s="44"/>
      <c r="O167" s="34"/>
      <c r="P167" s="34"/>
    </row>
    <row r="168" spans="1:16" ht="18.75" x14ac:dyDescent="0.3">
      <c r="A168" s="44" t="s">
        <v>931</v>
      </c>
      <c r="B168" s="44"/>
      <c r="C168" s="44" t="s">
        <v>283</v>
      </c>
      <c r="D168" s="44"/>
      <c r="E168" s="44"/>
      <c r="F168" s="44"/>
      <c r="G168" s="44"/>
      <c r="H168" s="44"/>
      <c r="I168" s="44"/>
      <c r="J168" s="44"/>
      <c r="K168" s="44"/>
      <c r="L168" s="44"/>
      <c r="M168" s="44"/>
      <c r="N168" s="44"/>
      <c r="O168" s="34"/>
      <c r="P168" s="34"/>
    </row>
    <row r="169" spans="1:16" ht="18.75" x14ac:dyDescent="0.3">
      <c r="A169" s="44" t="s">
        <v>933</v>
      </c>
      <c r="B169" s="44"/>
      <c r="C169" s="44"/>
      <c r="D169" s="44"/>
      <c r="E169" s="44"/>
      <c r="F169" s="44"/>
      <c r="G169" s="44"/>
      <c r="H169" s="44"/>
      <c r="I169" s="44"/>
      <c r="J169" s="44"/>
      <c r="K169" s="44"/>
      <c r="L169" s="44"/>
      <c r="M169" s="44"/>
      <c r="N169" s="44"/>
      <c r="O169" s="34"/>
      <c r="P169" s="34"/>
    </row>
    <row r="170" spans="1:16" ht="18.75" x14ac:dyDescent="0.3">
      <c r="A170" s="44"/>
      <c r="B170" s="44"/>
      <c r="C170" s="44"/>
      <c r="D170" s="44"/>
      <c r="E170" s="44"/>
      <c r="F170" s="44"/>
      <c r="G170" s="44"/>
      <c r="H170" s="44"/>
      <c r="I170" s="44"/>
      <c r="J170" s="44"/>
      <c r="K170" s="44"/>
      <c r="L170" s="44"/>
      <c r="M170" s="44"/>
      <c r="N170" s="44"/>
      <c r="O170" s="34"/>
      <c r="P170" s="34"/>
    </row>
    <row r="171" spans="1:16" ht="18.75" x14ac:dyDescent="0.3">
      <c r="A171" s="44"/>
      <c r="B171" s="44"/>
      <c r="C171" s="44"/>
      <c r="D171" s="44"/>
      <c r="E171" s="44"/>
      <c r="F171" s="44"/>
      <c r="G171" s="44"/>
      <c r="H171" s="44"/>
      <c r="I171" s="44"/>
      <c r="J171" s="44"/>
      <c r="K171" s="44"/>
      <c r="L171" s="44"/>
      <c r="M171" s="44"/>
      <c r="N171" s="44"/>
      <c r="O171" s="34"/>
      <c r="P171" s="34"/>
    </row>
    <row r="172" spans="1:16" ht="18.75" x14ac:dyDescent="0.3">
      <c r="A172" s="44" t="s">
        <v>931</v>
      </c>
      <c r="B172" s="44"/>
      <c r="C172" s="44"/>
      <c r="D172" s="44"/>
      <c r="E172" s="44"/>
      <c r="F172" s="44"/>
      <c r="G172" s="44"/>
      <c r="H172" s="44"/>
      <c r="I172" s="44"/>
      <c r="J172" s="44"/>
      <c r="K172" s="44"/>
      <c r="L172" s="44"/>
      <c r="M172" s="44"/>
      <c r="N172" s="44"/>
      <c r="O172" s="34"/>
      <c r="P172" s="34"/>
    </row>
    <row r="173" spans="1:16" ht="18.75" x14ac:dyDescent="0.3">
      <c r="A173" s="44" t="s">
        <v>932</v>
      </c>
      <c r="B173" s="44"/>
      <c r="C173" s="44" t="s">
        <v>286</v>
      </c>
      <c r="D173" s="44"/>
      <c r="E173" s="44"/>
      <c r="F173" s="44"/>
      <c r="G173" s="44"/>
      <c r="H173" s="44"/>
      <c r="I173" s="44"/>
      <c r="J173" s="44"/>
      <c r="K173" s="44"/>
      <c r="L173" s="44"/>
      <c r="M173" s="44"/>
      <c r="N173" s="44"/>
      <c r="O173" s="34"/>
      <c r="P173" s="34"/>
    </row>
    <row r="174" spans="1:16" ht="18.75" x14ac:dyDescent="0.3">
      <c r="A174" s="44" t="s">
        <v>284</v>
      </c>
      <c r="B174" s="44"/>
      <c r="C174" s="44"/>
      <c r="D174" s="44"/>
      <c r="E174" s="44"/>
      <c r="F174" s="44"/>
      <c r="G174" s="44"/>
      <c r="H174" s="44"/>
      <c r="I174" s="44"/>
      <c r="J174" s="44"/>
      <c r="K174" s="44"/>
      <c r="L174" s="44"/>
      <c r="M174" s="44"/>
      <c r="N174" s="44"/>
      <c r="O174" s="34"/>
      <c r="P174" s="34"/>
    </row>
    <row r="175" spans="1:16" ht="18.75" x14ac:dyDescent="0.3">
      <c r="A175" s="44" t="s">
        <v>285</v>
      </c>
      <c r="B175" s="44"/>
      <c r="C175" s="44"/>
      <c r="D175" s="44"/>
      <c r="E175" s="44"/>
      <c r="F175" s="44"/>
      <c r="G175" s="44"/>
      <c r="H175" s="44"/>
      <c r="I175" s="44"/>
      <c r="J175" s="44"/>
      <c r="K175" s="44"/>
      <c r="L175" s="44"/>
      <c r="M175" s="44"/>
      <c r="N175" s="44"/>
      <c r="O175" s="34"/>
      <c r="P175" s="34"/>
    </row>
    <row r="176" spans="1:16" ht="18.75" x14ac:dyDescent="0.3">
      <c r="A176" s="44"/>
      <c r="B176" s="44"/>
      <c r="C176" s="44"/>
      <c r="D176" s="44"/>
      <c r="E176" s="44"/>
      <c r="F176" s="44"/>
      <c r="G176" s="44"/>
      <c r="H176" s="44"/>
      <c r="I176" s="44"/>
      <c r="J176" s="44"/>
      <c r="K176" s="44"/>
      <c r="L176" s="44"/>
      <c r="M176" s="44"/>
      <c r="N176" s="44"/>
      <c r="O176" s="34"/>
      <c r="P176" s="34"/>
    </row>
    <row r="177" spans="1:16" ht="18.75" x14ac:dyDescent="0.3">
      <c r="A177" s="44"/>
      <c r="B177" s="44"/>
      <c r="C177" s="44"/>
      <c r="D177" s="44"/>
      <c r="E177" s="44"/>
      <c r="F177" s="44"/>
      <c r="G177" s="44"/>
      <c r="H177" s="44"/>
      <c r="I177" s="44"/>
      <c r="J177" s="44"/>
      <c r="K177" s="44"/>
      <c r="L177" s="44"/>
      <c r="M177" s="44"/>
      <c r="N177" s="44"/>
      <c r="O177" s="34"/>
      <c r="P177" s="34"/>
    </row>
    <row r="178" spans="1:16" ht="18.75" x14ac:dyDescent="0.3">
      <c r="A178" s="44" t="s">
        <v>222</v>
      </c>
      <c r="B178" s="44"/>
      <c r="C178" s="44" t="s">
        <v>287</v>
      </c>
      <c r="D178" s="44"/>
      <c r="E178" s="44"/>
      <c r="F178" s="44"/>
      <c r="G178" s="44"/>
      <c r="H178" s="44"/>
      <c r="I178" s="44"/>
      <c r="J178" s="44"/>
      <c r="K178" s="44"/>
      <c r="L178" s="44"/>
      <c r="M178" s="44"/>
      <c r="N178" s="44"/>
      <c r="O178" s="34"/>
      <c r="P178" s="34"/>
    </row>
    <row r="179" spans="1:16" ht="18.75" x14ac:dyDescent="0.3">
      <c r="A179" s="44" t="s">
        <v>223</v>
      </c>
      <c r="B179" s="44"/>
      <c r="C179" s="44"/>
      <c r="D179" s="44"/>
      <c r="E179" s="44"/>
      <c r="F179" s="44"/>
      <c r="G179" s="44"/>
      <c r="H179" s="44"/>
      <c r="I179" s="44"/>
      <c r="J179" s="44"/>
      <c r="K179" s="44"/>
      <c r="L179" s="44"/>
      <c r="M179" s="44"/>
      <c r="N179" s="44"/>
      <c r="O179" s="34"/>
      <c r="P179" s="34"/>
    </row>
    <row r="180" spans="1:16" ht="18.75" x14ac:dyDescent="0.3">
      <c r="A180" s="44" t="s">
        <v>224</v>
      </c>
      <c r="B180" s="44"/>
      <c r="C180" s="44"/>
      <c r="D180" s="44"/>
      <c r="E180" s="44"/>
      <c r="F180" s="44"/>
      <c r="G180" s="44"/>
      <c r="H180" s="44"/>
      <c r="I180" s="44"/>
      <c r="J180" s="44"/>
      <c r="K180" s="44"/>
      <c r="L180" s="44"/>
      <c r="M180" s="44"/>
      <c r="N180" s="44"/>
      <c r="O180" s="34"/>
      <c r="P180" s="34"/>
    </row>
    <row r="181" spans="1:16" ht="18.75" x14ac:dyDescent="0.3">
      <c r="A181" s="44" t="s">
        <v>225</v>
      </c>
      <c r="B181" s="44"/>
      <c r="C181" s="44"/>
      <c r="D181" s="44"/>
      <c r="E181" s="44"/>
      <c r="F181" s="44"/>
      <c r="G181" s="44"/>
      <c r="H181" s="44"/>
      <c r="I181" s="44"/>
      <c r="J181" s="44"/>
      <c r="K181" s="44"/>
      <c r="L181" s="44"/>
      <c r="M181" s="44"/>
      <c r="N181" s="44"/>
      <c r="O181" s="34"/>
      <c r="P181" s="34"/>
    </row>
    <row r="182" spans="1:16" ht="18.75" x14ac:dyDescent="0.3">
      <c r="A182" s="44"/>
      <c r="B182" s="44"/>
      <c r="C182" s="44"/>
      <c r="D182" s="44"/>
      <c r="E182" s="44"/>
      <c r="F182" s="44"/>
      <c r="G182" s="44"/>
      <c r="H182" s="44"/>
      <c r="I182" s="44"/>
      <c r="J182" s="44"/>
      <c r="K182" s="44"/>
      <c r="L182" s="44"/>
      <c r="M182" s="44"/>
      <c r="N182" s="44"/>
      <c r="O182" s="34"/>
      <c r="P182" s="34"/>
    </row>
    <row r="183" spans="1:16" ht="18.75" x14ac:dyDescent="0.3">
      <c r="A183" s="44"/>
      <c r="B183" s="44"/>
      <c r="C183" s="44"/>
      <c r="D183" s="44"/>
      <c r="E183" s="44"/>
      <c r="F183" s="44"/>
      <c r="G183" s="44"/>
      <c r="H183" s="44"/>
      <c r="I183" s="44"/>
      <c r="J183" s="44"/>
      <c r="K183" s="44"/>
      <c r="L183" s="44"/>
      <c r="M183" s="44"/>
      <c r="N183" s="44"/>
      <c r="O183" s="34"/>
      <c r="P183" s="34"/>
    </row>
    <row r="184" spans="1:16" ht="18.75" x14ac:dyDescent="0.3">
      <c r="A184" s="44" t="s">
        <v>209</v>
      </c>
      <c r="B184" s="44"/>
      <c r="C184" s="44"/>
      <c r="D184" s="44"/>
      <c r="E184" s="44"/>
      <c r="F184" s="44"/>
      <c r="G184" s="44"/>
      <c r="H184" s="44"/>
      <c r="I184" s="44"/>
      <c r="J184" s="44"/>
      <c r="K184" s="44"/>
      <c r="L184" s="44"/>
      <c r="M184" s="44"/>
      <c r="N184" s="44"/>
      <c r="O184" s="34"/>
      <c r="P184" s="34"/>
    </row>
    <row r="185" spans="1:16" ht="18.75" x14ac:dyDescent="0.3">
      <c r="A185" s="44" t="s">
        <v>222</v>
      </c>
      <c r="B185" s="44" t="s">
        <v>289</v>
      </c>
      <c r="C185" s="44"/>
      <c r="D185" s="44"/>
      <c r="E185" s="44"/>
      <c r="F185" s="44"/>
      <c r="G185" s="44"/>
      <c r="H185" s="44"/>
      <c r="I185" s="44"/>
      <c r="J185" s="44"/>
      <c r="K185" s="44"/>
      <c r="L185" s="44"/>
      <c r="M185" s="44"/>
      <c r="N185" s="44"/>
      <c r="O185" s="34"/>
      <c r="P185" s="34"/>
    </row>
    <row r="186" spans="1:16" ht="18.75" x14ac:dyDescent="0.3">
      <c r="A186" s="44" t="s">
        <v>223</v>
      </c>
      <c r="B186" s="44"/>
      <c r="C186" s="44"/>
      <c r="D186" s="44"/>
      <c r="E186" s="44"/>
      <c r="F186" s="44"/>
      <c r="G186" s="44"/>
      <c r="H186" s="44"/>
      <c r="I186" s="44"/>
      <c r="J186" s="44"/>
      <c r="K186" s="44"/>
      <c r="L186" s="44"/>
      <c r="M186" s="44"/>
      <c r="N186" s="44"/>
      <c r="O186" s="34"/>
      <c r="P186" s="34"/>
    </row>
    <row r="187" spans="1:16" ht="18.75" x14ac:dyDescent="0.3">
      <c r="A187" s="44" t="s">
        <v>224</v>
      </c>
      <c r="B187" s="44"/>
      <c r="C187" s="44"/>
      <c r="D187" s="44"/>
      <c r="E187" s="44"/>
      <c r="F187" s="44"/>
      <c r="G187" s="44"/>
      <c r="H187" s="44"/>
      <c r="I187" s="44"/>
      <c r="J187" s="44"/>
      <c r="K187" s="44"/>
      <c r="L187" s="44"/>
      <c r="M187" s="44"/>
      <c r="N187" s="44"/>
      <c r="O187" s="34"/>
      <c r="P187" s="34"/>
    </row>
    <row r="188" spans="1:16" ht="18.75" x14ac:dyDescent="0.3">
      <c r="A188" s="44"/>
      <c r="B188" s="44"/>
      <c r="C188" s="44"/>
      <c r="D188" s="44"/>
      <c r="E188" s="44"/>
      <c r="F188" s="44"/>
      <c r="G188" s="44"/>
      <c r="H188" s="44"/>
      <c r="I188" s="44"/>
      <c r="J188" s="44"/>
      <c r="K188" s="44"/>
      <c r="L188" s="44"/>
      <c r="M188" s="44"/>
      <c r="N188" s="44"/>
      <c r="O188" s="34"/>
      <c r="P188" s="34"/>
    </row>
    <row r="189" spans="1:16" ht="18.75" x14ac:dyDescent="0.3">
      <c r="A189" s="44"/>
      <c r="B189" s="44"/>
      <c r="C189" s="44"/>
      <c r="D189" s="44"/>
      <c r="E189" s="44"/>
      <c r="F189" s="44"/>
      <c r="G189" s="44"/>
      <c r="H189" s="44"/>
      <c r="I189" s="44"/>
      <c r="J189" s="44"/>
      <c r="K189" s="44"/>
      <c r="L189" s="44"/>
      <c r="M189" s="44"/>
      <c r="N189" s="44"/>
      <c r="O189" s="34"/>
      <c r="P189" s="34"/>
    </row>
    <row r="190" spans="1:16" ht="18.75" x14ac:dyDescent="0.3">
      <c r="A190" s="44" t="s">
        <v>290</v>
      </c>
      <c r="B190" s="44"/>
      <c r="C190" s="44"/>
      <c r="D190" s="44"/>
      <c r="E190" s="44"/>
      <c r="F190" s="44"/>
      <c r="G190" s="44"/>
      <c r="H190" s="44"/>
      <c r="I190" s="44"/>
      <c r="J190" s="44"/>
      <c r="K190" s="44"/>
      <c r="L190" s="44"/>
      <c r="M190" s="44"/>
      <c r="N190" s="44"/>
      <c r="O190" s="34"/>
      <c r="P190" s="34"/>
    </row>
    <row r="191" spans="1:16" ht="18.75" x14ac:dyDescent="0.3">
      <c r="A191" s="44" t="s">
        <v>291</v>
      </c>
      <c r="B191" s="44"/>
      <c r="C191" s="44" t="s">
        <v>293</v>
      </c>
      <c r="D191" s="44"/>
      <c r="E191" s="44"/>
      <c r="F191" s="44"/>
      <c r="G191" s="44"/>
      <c r="H191" s="44"/>
      <c r="I191" s="44"/>
      <c r="J191" s="44"/>
      <c r="K191" s="44"/>
      <c r="L191" s="44"/>
      <c r="M191" s="44"/>
      <c r="N191" s="44"/>
      <c r="O191" s="34"/>
      <c r="P191" s="34"/>
    </row>
    <row r="192" spans="1:16" ht="18.75" x14ac:dyDescent="0.3">
      <c r="A192" s="44" t="s">
        <v>292</v>
      </c>
      <c r="B192" s="44"/>
      <c r="C192" s="44"/>
      <c r="D192" s="44"/>
      <c r="E192" s="44"/>
      <c r="F192" s="44"/>
      <c r="G192" s="44"/>
      <c r="H192" s="44"/>
      <c r="I192" s="44"/>
      <c r="J192" s="44"/>
      <c r="K192" s="44"/>
      <c r="L192" s="44"/>
      <c r="M192" s="44"/>
      <c r="N192" s="44"/>
      <c r="O192" s="34"/>
      <c r="P192" s="34"/>
    </row>
    <row r="193" spans="1:16" ht="18.75" x14ac:dyDescent="0.3">
      <c r="A193" s="44" t="s">
        <v>269</v>
      </c>
      <c r="B193" s="44"/>
      <c r="C193" s="44"/>
      <c r="D193" s="44"/>
      <c r="E193" s="44"/>
      <c r="F193" s="44"/>
      <c r="G193" s="44"/>
      <c r="H193" s="44"/>
      <c r="I193" s="44"/>
      <c r="J193" s="44"/>
      <c r="K193" s="44"/>
      <c r="L193" s="44"/>
      <c r="M193" s="44"/>
      <c r="N193" s="44"/>
      <c r="O193" s="34"/>
      <c r="P193" s="34"/>
    </row>
    <row r="194" spans="1:16" ht="18.75" x14ac:dyDescent="0.3">
      <c r="A194" s="44"/>
      <c r="B194" s="44"/>
      <c r="C194" s="44"/>
      <c r="D194" s="44"/>
      <c r="E194" s="44"/>
      <c r="F194" s="44"/>
      <c r="G194" s="44"/>
      <c r="H194" s="44"/>
      <c r="I194" s="44"/>
      <c r="J194" s="44"/>
      <c r="K194" s="44"/>
      <c r="L194" s="44"/>
      <c r="M194" s="44"/>
      <c r="N194" s="44"/>
      <c r="O194" s="34"/>
      <c r="P194" s="34"/>
    </row>
    <row r="195" spans="1:16" ht="18.75" x14ac:dyDescent="0.3">
      <c r="A195" s="44"/>
      <c r="B195" s="44"/>
      <c r="C195" s="44"/>
      <c r="D195" s="44"/>
      <c r="E195" s="44"/>
      <c r="F195" s="44"/>
      <c r="G195" s="44"/>
      <c r="H195" s="44"/>
      <c r="I195" s="44"/>
      <c r="J195" s="44"/>
      <c r="K195" s="44"/>
      <c r="L195" s="44"/>
      <c r="M195" s="44"/>
      <c r="N195" s="44"/>
      <c r="O195" s="34"/>
      <c r="P195" s="34"/>
    </row>
    <row r="196" spans="1:16" ht="18.75" x14ac:dyDescent="0.3">
      <c r="A196" s="44" t="s">
        <v>182</v>
      </c>
      <c r="B196" s="44"/>
      <c r="C196" s="44"/>
      <c r="D196" s="44"/>
      <c r="E196" s="44"/>
      <c r="F196" s="44"/>
      <c r="G196" s="44"/>
      <c r="H196" s="44"/>
      <c r="I196" s="44"/>
      <c r="J196" s="44"/>
      <c r="K196" s="44"/>
      <c r="L196" s="44"/>
      <c r="M196" s="44"/>
      <c r="N196" s="44"/>
      <c r="O196" s="34"/>
      <c r="P196" s="34"/>
    </row>
    <row r="197" spans="1:16" ht="18.75" x14ac:dyDescent="0.3">
      <c r="A197" s="44" t="s">
        <v>183</v>
      </c>
      <c r="B197" s="44"/>
      <c r="C197" s="44" t="s">
        <v>331</v>
      </c>
      <c r="D197" s="44"/>
      <c r="E197" s="44"/>
      <c r="F197" s="44"/>
      <c r="G197" s="44"/>
      <c r="H197" s="44"/>
      <c r="I197" s="44"/>
      <c r="J197" s="44"/>
      <c r="K197" s="44"/>
      <c r="L197" s="44"/>
      <c r="M197" s="44"/>
      <c r="N197" s="44"/>
      <c r="O197" s="34"/>
      <c r="P197" s="34"/>
    </row>
    <row r="198" spans="1:16" ht="18.75" x14ac:dyDescent="0.3">
      <c r="A198" s="44" t="s">
        <v>269</v>
      </c>
      <c r="B198" s="44"/>
      <c r="C198" s="44"/>
      <c r="D198" s="44"/>
      <c r="E198" s="44"/>
      <c r="F198" s="44"/>
      <c r="G198" s="44"/>
      <c r="H198" s="44"/>
      <c r="I198" s="44"/>
      <c r="J198" s="44"/>
      <c r="K198" s="44"/>
      <c r="L198" s="44"/>
      <c r="M198" s="44"/>
      <c r="N198" s="44"/>
      <c r="O198" s="34"/>
      <c r="P198" s="34"/>
    </row>
    <row r="199" spans="1:16" ht="18.75" x14ac:dyDescent="0.3">
      <c r="A199" s="44"/>
      <c r="B199" s="44"/>
      <c r="C199" s="44"/>
      <c r="D199" s="44"/>
      <c r="E199" s="44"/>
      <c r="F199" s="44"/>
      <c r="G199" s="44"/>
      <c r="H199" s="44"/>
      <c r="I199" s="44"/>
      <c r="J199" s="44"/>
      <c r="K199" s="44"/>
      <c r="L199" s="44"/>
      <c r="M199" s="44"/>
      <c r="N199" s="44"/>
      <c r="O199" s="34"/>
      <c r="P199" s="34"/>
    </row>
    <row r="200" spans="1:16" ht="18.75" x14ac:dyDescent="0.3">
      <c r="A200" s="44"/>
      <c r="B200" s="44"/>
      <c r="C200" s="44"/>
      <c r="D200" s="44"/>
      <c r="E200" s="44"/>
      <c r="F200" s="44"/>
      <c r="G200" s="44"/>
      <c r="H200" s="44"/>
      <c r="I200" s="44"/>
      <c r="J200" s="44"/>
      <c r="K200" s="44"/>
      <c r="L200" s="44"/>
      <c r="M200" s="44"/>
      <c r="N200" s="44"/>
      <c r="O200" s="34"/>
      <c r="P200" s="34"/>
    </row>
    <row r="201" spans="1:16" ht="18.75" x14ac:dyDescent="0.3">
      <c r="A201" s="44" t="s">
        <v>184</v>
      </c>
      <c r="B201" s="44"/>
      <c r="C201" s="44"/>
      <c r="D201" s="44"/>
      <c r="E201" s="44"/>
      <c r="F201" s="44"/>
      <c r="G201" s="44"/>
      <c r="H201" s="44"/>
      <c r="I201" s="44"/>
      <c r="J201" s="44"/>
      <c r="K201" s="44"/>
      <c r="L201" s="44"/>
      <c r="M201" s="44"/>
      <c r="N201" s="44"/>
      <c r="O201" s="34"/>
      <c r="P201" s="34"/>
    </row>
    <row r="202" spans="1:16" ht="18.75" x14ac:dyDescent="0.3">
      <c r="A202" s="44" t="s">
        <v>182</v>
      </c>
      <c r="B202" s="44"/>
      <c r="C202" s="44" t="s">
        <v>333</v>
      </c>
      <c r="D202" s="44"/>
      <c r="E202" s="44"/>
      <c r="F202" s="44"/>
      <c r="G202" s="44"/>
      <c r="H202" s="44"/>
      <c r="I202" s="44"/>
      <c r="J202" s="44"/>
      <c r="K202" s="44"/>
      <c r="L202" s="44"/>
      <c r="M202" s="44"/>
      <c r="N202" s="44"/>
      <c r="O202" s="34"/>
      <c r="P202" s="34"/>
    </row>
    <row r="203" spans="1:16" ht="18.75" x14ac:dyDescent="0.3">
      <c r="A203" s="44" t="s">
        <v>257</v>
      </c>
      <c r="B203" s="34"/>
      <c r="C203" s="34"/>
      <c r="D203" s="34"/>
      <c r="E203" s="34"/>
      <c r="F203" s="34"/>
      <c r="G203" s="34"/>
      <c r="H203" s="34"/>
      <c r="I203" s="34"/>
      <c r="J203" s="34"/>
      <c r="K203" s="34"/>
      <c r="L203" s="34"/>
      <c r="M203" s="34"/>
      <c r="N203" s="34"/>
      <c r="O203" s="34"/>
      <c r="P203" s="34"/>
    </row>
    <row r="204" spans="1:16" ht="18.75" x14ac:dyDescent="0.3">
      <c r="A204" s="44" t="s">
        <v>269</v>
      </c>
      <c r="B204" s="34"/>
      <c r="C204" s="34"/>
      <c r="D204" s="34"/>
      <c r="E204" s="34"/>
      <c r="F204" s="34"/>
      <c r="G204" s="34"/>
      <c r="H204" s="34"/>
      <c r="I204" s="34"/>
      <c r="J204" s="34"/>
      <c r="K204" s="34"/>
      <c r="L204" s="34"/>
      <c r="M204" s="34"/>
      <c r="N204" s="34"/>
      <c r="O204" s="34"/>
      <c r="P204" s="34"/>
    </row>
    <row r="205" spans="1:16" x14ac:dyDescent="0.25">
      <c r="A205" s="51"/>
      <c r="B205" s="34"/>
      <c r="C205" s="34"/>
      <c r="D205" s="34"/>
      <c r="E205" s="34"/>
      <c r="F205" s="34"/>
      <c r="G205" s="34"/>
      <c r="H205" s="34"/>
      <c r="I205" s="34"/>
      <c r="J205" s="34"/>
      <c r="K205" s="34"/>
      <c r="L205" s="34"/>
      <c r="M205" s="34"/>
      <c r="N205" s="34"/>
      <c r="O205" s="34"/>
      <c r="P205" s="34"/>
    </row>
    <row r="206" spans="1:16" ht="18.75" x14ac:dyDescent="0.3">
      <c r="A206" s="44" t="s">
        <v>209</v>
      </c>
      <c r="B206" s="34"/>
      <c r="C206" s="52" t="s">
        <v>335</v>
      </c>
      <c r="D206" s="52"/>
      <c r="E206" s="52"/>
      <c r="F206" s="52"/>
      <c r="G206" s="52"/>
      <c r="H206" s="34"/>
      <c r="I206" s="34"/>
      <c r="J206" s="34"/>
      <c r="K206" s="34"/>
      <c r="L206" s="34"/>
      <c r="M206" s="34"/>
      <c r="N206" s="34"/>
      <c r="O206" s="34"/>
      <c r="P206" s="34"/>
    </row>
    <row r="207" spans="1:16" ht="18.75" x14ac:dyDescent="0.3">
      <c r="A207" s="44" t="s">
        <v>222</v>
      </c>
      <c r="B207" s="34"/>
      <c r="C207" s="52"/>
      <c r="D207" s="52"/>
      <c r="E207" s="52"/>
      <c r="F207" s="52"/>
      <c r="G207" s="52"/>
      <c r="H207" s="34"/>
      <c r="I207" s="34"/>
      <c r="J207" s="34"/>
      <c r="K207" s="34"/>
      <c r="L207" s="34"/>
      <c r="M207" s="34"/>
      <c r="N207" s="34"/>
      <c r="O207" s="34"/>
      <c r="P207" s="34"/>
    </row>
    <row r="208" spans="1:16" ht="18.75" x14ac:dyDescent="0.3">
      <c r="A208" s="44" t="s">
        <v>223</v>
      </c>
      <c r="B208" s="34"/>
      <c r="C208" s="52"/>
      <c r="D208" s="52"/>
      <c r="E208" s="52"/>
      <c r="F208" s="52"/>
      <c r="G208" s="52"/>
      <c r="H208" s="34"/>
      <c r="I208" s="34"/>
      <c r="J208" s="34"/>
      <c r="K208" s="34"/>
      <c r="L208" s="34"/>
      <c r="M208" s="34"/>
      <c r="N208" s="34"/>
      <c r="O208" s="34"/>
      <c r="P208" s="34"/>
    </row>
    <row r="209" spans="1:16" x14ac:dyDescent="0.25">
      <c r="A209" s="51"/>
      <c r="B209" s="34"/>
      <c r="C209" s="52"/>
      <c r="D209" s="52"/>
      <c r="E209" s="52"/>
      <c r="F209" s="52"/>
      <c r="G209" s="52"/>
      <c r="H209" s="34"/>
      <c r="I209" s="34"/>
      <c r="J209" s="34"/>
      <c r="K209" s="34"/>
      <c r="L209" s="34"/>
      <c r="M209" s="34"/>
      <c r="N209" s="34"/>
      <c r="O209" s="34"/>
      <c r="P209" s="34"/>
    </row>
    <row r="210" spans="1:16" x14ac:dyDescent="0.25">
      <c r="A210" s="51"/>
      <c r="B210" s="34"/>
      <c r="C210" s="52"/>
      <c r="D210" s="52"/>
      <c r="E210" s="52"/>
      <c r="F210" s="52"/>
      <c r="G210" s="52"/>
      <c r="H210" s="34"/>
      <c r="I210" s="34"/>
      <c r="J210" s="34"/>
      <c r="K210" s="34"/>
      <c r="L210" s="34"/>
      <c r="M210" s="34"/>
      <c r="N210" s="34"/>
      <c r="O210" s="34"/>
      <c r="P210" s="34"/>
    </row>
    <row r="211" spans="1:16" x14ac:dyDescent="0.25">
      <c r="A211" s="51" t="s">
        <v>346</v>
      </c>
      <c r="B211" s="34"/>
      <c r="C211" s="52"/>
      <c r="D211" s="52"/>
      <c r="E211" s="52"/>
      <c r="F211" s="52"/>
      <c r="G211" s="52"/>
      <c r="H211" s="34"/>
      <c r="I211" s="34"/>
      <c r="J211" s="34"/>
      <c r="K211" s="34"/>
      <c r="L211" s="34"/>
      <c r="M211" s="34"/>
      <c r="N211" s="34"/>
      <c r="O211" s="34"/>
      <c r="P211" s="34"/>
    </row>
    <row r="212" spans="1:16" x14ac:dyDescent="0.25">
      <c r="A212" s="51" t="s">
        <v>347</v>
      </c>
      <c r="B212" s="34"/>
      <c r="C212" s="52"/>
      <c r="D212" s="52"/>
      <c r="E212" s="52"/>
      <c r="F212" s="52"/>
      <c r="G212" s="52"/>
      <c r="H212" s="34"/>
      <c r="I212" s="34"/>
      <c r="J212" s="34"/>
      <c r="K212" s="34"/>
      <c r="L212" s="34"/>
      <c r="M212" s="34"/>
      <c r="N212" s="34"/>
      <c r="O212" s="34"/>
      <c r="P212" s="34"/>
    </row>
    <row r="213" spans="1:16" x14ac:dyDescent="0.25">
      <c r="A213" s="51" t="s">
        <v>348</v>
      </c>
      <c r="B213" s="34"/>
      <c r="C213" s="52"/>
      <c r="D213" s="52"/>
      <c r="E213" s="52"/>
      <c r="F213" s="52"/>
      <c r="G213" s="52"/>
      <c r="H213" s="34"/>
      <c r="I213" s="34"/>
      <c r="J213" s="34"/>
      <c r="K213" s="34"/>
      <c r="L213" s="34"/>
      <c r="M213" s="34"/>
      <c r="N213" s="34"/>
      <c r="O213" s="34"/>
      <c r="P213" s="34"/>
    </row>
    <row r="214" spans="1:16" x14ac:dyDescent="0.25">
      <c r="A214" s="51"/>
      <c r="B214" s="34"/>
      <c r="C214" s="34"/>
      <c r="D214" s="34"/>
      <c r="E214" s="34"/>
      <c r="F214" s="34"/>
      <c r="G214" s="34"/>
      <c r="H214" s="34"/>
      <c r="I214" s="34"/>
      <c r="J214" s="34"/>
      <c r="K214" s="34"/>
      <c r="L214" s="34"/>
      <c r="M214" s="34"/>
      <c r="N214" s="34"/>
      <c r="O214" s="34"/>
      <c r="P214" s="34"/>
    </row>
    <row r="215" spans="1:16" x14ac:dyDescent="0.25">
      <c r="A215" s="51"/>
      <c r="B215" s="34"/>
      <c r="C215" s="34"/>
      <c r="D215" s="34"/>
      <c r="E215" s="34"/>
      <c r="F215" s="34"/>
      <c r="G215" s="34"/>
      <c r="H215" s="34"/>
      <c r="I215" s="34"/>
      <c r="J215" s="34"/>
      <c r="K215" s="34"/>
      <c r="L215" s="34"/>
      <c r="M215" s="34"/>
      <c r="N215" s="34"/>
      <c r="O215" s="34"/>
      <c r="P215" s="34"/>
    </row>
    <row r="216" spans="1:16" x14ac:dyDescent="0.25">
      <c r="A216" s="51" t="s">
        <v>940</v>
      </c>
      <c r="B216" s="34"/>
      <c r="C216" s="34"/>
      <c r="D216" s="34"/>
      <c r="E216" s="34"/>
      <c r="F216" s="34"/>
      <c r="G216" s="34"/>
      <c r="H216" s="34"/>
      <c r="I216" s="34"/>
      <c r="J216" s="34"/>
      <c r="K216" s="34"/>
      <c r="L216" s="34"/>
      <c r="M216" s="34"/>
      <c r="N216" s="34"/>
      <c r="O216" s="34"/>
      <c r="P216" s="34"/>
    </row>
    <row r="217" spans="1:16" x14ac:dyDescent="0.25">
      <c r="A217" s="51" t="s">
        <v>941</v>
      </c>
      <c r="B217" s="34"/>
      <c r="C217" s="34"/>
      <c r="D217" s="34"/>
      <c r="E217" s="34"/>
      <c r="F217" s="34"/>
      <c r="G217" s="34"/>
      <c r="H217" s="34"/>
      <c r="I217" s="34"/>
      <c r="J217" s="34"/>
      <c r="K217" s="34"/>
      <c r="L217" s="34"/>
      <c r="M217" s="34"/>
      <c r="N217" s="34"/>
      <c r="O217" s="34"/>
      <c r="P217" s="34"/>
    </row>
    <row r="218" spans="1:16" x14ac:dyDescent="0.25">
      <c r="A218" s="51" t="s">
        <v>942</v>
      </c>
      <c r="B218" s="34"/>
      <c r="C218" s="34"/>
      <c r="D218" s="34"/>
      <c r="E218" s="34"/>
      <c r="F218" s="34"/>
      <c r="G218" s="34"/>
      <c r="H218" s="34"/>
      <c r="I218" s="34"/>
      <c r="J218" s="34"/>
      <c r="K218" s="34"/>
      <c r="L218" s="34"/>
      <c r="M218" s="34"/>
      <c r="N218" s="34"/>
      <c r="O218" s="34"/>
      <c r="P218" s="34"/>
    </row>
    <row r="219" spans="1:16" x14ac:dyDescent="0.25">
      <c r="A219" s="51"/>
      <c r="B219" s="34"/>
      <c r="C219" s="34"/>
      <c r="D219" s="34"/>
      <c r="E219" s="34"/>
      <c r="F219" s="34"/>
      <c r="G219" s="34"/>
      <c r="H219" s="34"/>
      <c r="I219" s="34"/>
      <c r="J219" s="34"/>
      <c r="K219" s="34"/>
      <c r="L219" s="34"/>
      <c r="M219" s="34"/>
      <c r="N219" s="34"/>
      <c r="O219" s="34"/>
      <c r="P219" s="34"/>
    </row>
    <row r="220" spans="1:16" x14ac:dyDescent="0.25">
      <c r="A220" s="51"/>
      <c r="B220" s="34"/>
      <c r="C220" s="34"/>
      <c r="D220" s="34"/>
      <c r="E220" s="34"/>
      <c r="F220" s="34"/>
      <c r="G220" s="34"/>
      <c r="H220" s="34"/>
      <c r="I220" s="34"/>
      <c r="J220" s="34"/>
      <c r="K220" s="34"/>
      <c r="L220" s="34"/>
      <c r="M220" s="34"/>
      <c r="N220" s="34"/>
      <c r="O220" s="34"/>
      <c r="P220" s="34"/>
    </row>
    <row r="221" spans="1:16" x14ac:dyDescent="0.25">
      <c r="A221" s="51" t="s">
        <v>431</v>
      </c>
      <c r="B221" s="34"/>
      <c r="C221" s="34"/>
      <c r="D221" s="34"/>
      <c r="E221" s="34"/>
      <c r="F221" s="34"/>
      <c r="G221" s="34"/>
      <c r="H221" s="34"/>
      <c r="I221" s="34"/>
      <c r="J221" s="34"/>
      <c r="K221" s="34"/>
      <c r="L221" s="34"/>
      <c r="M221" s="34"/>
      <c r="N221" s="34"/>
      <c r="O221" s="34"/>
      <c r="P221" s="34"/>
    </row>
    <row r="222" spans="1:16" x14ac:dyDescent="0.25">
      <c r="A222" s="51" t="s">
        <v>432</v>
      </c>
      <c r="B222" s="34"/>
      <c r="C222" s="34"/>
      <c r="D222" s="34"/>
      <c r="E222" s="34"/>
      <c r="F222" s="34"/>
      <c r="G222" s="34"/>
      <c r="H222" s="34"/>
      <c r="I222" s="34"/>
      <c r="J222" s="34"/>
      <c r="K222" s="34"/>
      <c r="L222" s="34"/>
      <c r="M222" s="34"/>
      <c r="N222" s="34"/>
      <c r="O222" s="34"/>
      <c r="P222" s="34"/>
    </row>
    <row r="223" spans="1:16" x14ac:dyDescent="0.25">
      <c r="A223" s="51" t="s">
        <v>433</v>
      </c>
      <c r="B223" s="34"/>
      <c r="C223" s="34"/>
      <c r="D223" s="34"/>
      <c r="E223" s="34"/>
      <c r="F223" s="34"/>
      <c r="G223" s="34"/>
      <c r="H223" s="34"/>
      <c r="I223" s="34"/>
      <c r="J223" s="34"/>
      <c r="K223" s="34"/>
      <c r="L223" s="34"/>
      <c r="M223" s="34"/>
      <c r="N223" s="34"/>
      <c r="O223" s="34"/>
      <c r="P223" s="34"/>
    </row>
    <row r="224" spans="1:16" x14ac:dyDescent="0.25">
      <c r="A224" s="51"/>
      <c r="B224" s="34"/>
      <c r="C224" s="34"/>
      <c r="D224" s="34"/>
      <c r="E224" s="34"/>
      <c r="F224" s="34"/>
      <c r="G224" s="34"/>
      <c r="H224" s="34"/>
      <c r="I224" s="34"/>
      <c r="J224" s="34"/>
      <c r="K224" s="34"/>
      <c r="L224" s="34"/>
      <c r="M224" s="34"/>
      <c r="N224" s="34"/>
      <c r="O224" s="34"/>
      <c r="P224" s="34"/>
    </row>
    <row r="225" spans="1:16" x14ac:dyDescent="0.25">
      <c r="A225" s="51"/>
      <c r="B225" s="34"/>
      <c r="C225" s="34"/>
      <c r="D225" s="34"/>
      <c r="E225" s="34"/>
      <c r="F225" s="34"/>
      <c r="G225" s="34"/>
      <c r="H225" s="34"/>
      <c r="I225" s="34"/>
      <c r="J225" s="34"/>
      <c r="K225" s="34"/>
      <c r="L225" s="34"/>
      <c r="M225" s="34"/>
      <c r="N225" s="34"/>
      <c r="O225" s="34"/>
      <c r="P225" s="34"/>
    </row>
    <row r="226" spans="1:16" x14ac:dyDescent="0.25">
      <c r="A226" s="51" t="s">
        <v>434</v>
      </c>
      <c r="B226" s="34"/>
      <c r="C226" s="34"/>
      <c r="D226" s="34"/>
      <c r="E226" s="34"/>
      <c r="F226" s="34"/>
      <c r="G226" s="34"/>
      <c r="H226" s="34"/>
      <c r="I226" s="34"/>
      <c r="J226" s="34"/>
      <c r="K226" s="34"/>
      <c r="L226" s="34"/>
      <c r="M226" s="34"/>
      <c r="N226" s="34"/>
      <c r="O226" s="34"/>
      <c r="P226" s="34"/>
    </row>
    <row r="227" spans="1:16" x14ac:dyDescent="0.25">
      <c r="A227" s="51" t="s">
        <v>435</v>
      </c>
      <c r="B227" s="34"/>
      <c r="C227" s="34"/>
      <c r="D227" s="34"/>
      <c r="E227" s="34"/>
      <c r="F227" s="34"/>
      <c r="G227" s="34"/>
      <c r="H227" s="34"/>
      <c r="I227" s="34"/>
      <c r="J227" s="34"/>
      <c r="K227" s="34"/>
      <c r="L227" s="34"/>
      <c r="M227" s="34"/>
      <c r="N227" s="34"/>
      <c r="O227" s="34"/>
      <c r="P227" s="34"/>
    </row>
    <row r="228" spans="1:16" x14ac:dyDescent="0.25">
      <c r="A228" s="51"/>
      <c r="B228" s="34"/>
      <c r="C228" s="34"/>
      <c r="D228" s="34"/>
      <c r="E228" s="34"/>
      <c r="F228" s="34"/>
      <c r="G228" s="34"/>
      <c r="H228" s="34"/>
      <c r="I228" s="34"/>
      <c r="J228" s="34"/>
      <c r="K228" s="34"/>
      <c r="L228" s="34"/>
      <c r="M228" s="34"/>
      <c r="N228" s="34"/>
      <c r="O228" s="34"/>
      <c r="P228" s="34"/>
    </row>
    <row r="229" spans="1:16" x14ac:dyDescent="0.25">
      <c r="A229" s="51" t="s">
        <v>437</v>
      </c>
      <c r="B229" s="34"/>
      <c r="C229" s="34"/>
      <c r="D229" s="34"/>
      <c r="E229" s="34"/>
      <c r="F229" s="34"/>
      <c r="G229" s="34"/>
      <c r="H229" s="34"/>
      <c r="I229" s="34"/>
      <c r="J229" s="34"/>
      <c r="K229" s="34"/>
      <c r="L229" s="34"/>
      <c r="M229" s="34"/>
      <c r="N229" s="34"/>
      <c r="O229" s="34"/>
      <c r="P229" s="34"/>
    </row>
    <row r="230" spans="1:16" x14ac:dyDescent="0.25">
      <c r="A230" s="51" t="s">
        <v>436</v>
      </c>
      <c r="B230" s="34"/>
      <c r="C230" s="34"/>
      <c r="D230" s="34"/>
      <c r="E230" s="34"/>
      <c r="F230" s="34"/>
      <c r="G230" s="34"/>
      <c r="H230" s="34"/>
      <c r="I230" s="34"/>
      <c r="J230" s="34"/>
      <c r="K230" s="34"/>
      <c r="L230" s="34"/>
      <c r="M230" s="34"/>
      <c r="N230" s="34"/>
      <c r="O230" s="34"/>
      <c r="P230" s="34"/>
    </row>
    <row r="231" spans="1:16" x14ac:dyDescent="0.25">
      <c r="A231" s="51"/>
      <c r="B231" s="34"/>
      <c r="C231" s="34"/>
      <c r="D231" s="34"/>
      <c r="E231" s="34"/>
      <c r="F231" s="34"/>
      <c r="G231" s="34"/>
      <c r="H231" s="34"/>
      <c r="I231" s="34"/>
      <c r="J231" s="34"/>
      <c r="K231" s="34"/>
      <c r="L231" s="34"/>
      <c r="M231" s="34"/>
      <c r="N231" s="34"/>
      <c r="O231" s="34"/>
      <c r="P231" s="34"/>
    </row>
    <row r="232" spans="1:16" x14ac:dyDescent="0.25">
      <c r="A232" s="51"/>
      <c r="B232" s="34"/>
      <c r="C232" s="34"/>
      <c r="D232" s="34"/>
      <c r="E232" s="34"/>
      <c r="F232" s="34"/>
      <c r="G232" s="34"/>
      <c r="H232" s="34"/>
      <c r="I232" s="34"/>
      <c r="J232" s="34"/>
      <c r="K232" s="34"/>
      <c r="L232" s="34"/>
      <c r="M232" s="34"/>
      <c r="N232" s="34"/>
      <c r="O232" s="34"/>
      <c r="P232" s="34"/>
    </row>
    <row r="233" spans="1:16" x14ac:dyDescent="0.25">
      <c r="A233" s="51"/>
      <c r="B233" s="34"/>
      <c r="C233" s="34"/>
      <c r="D233" s="34"/>
      <c r="E233" s="34"/>
      <c r="F233" s="34"/>
      <c r="G233" s="34"/>
      <c r="H233" s="34"/>
      <c r="I233" s="34"/>
      <c r="J233" s="34"/>
      <c r="K233" s="34"/>
      <c r="L233" s="34"/>
      <c r="M233" s="34"/>
      <c r="N233" s="34"/>
      <c r="O233" s="34"/>
      <c r="P233" s="34"/>
    </row>
    <row r="234" spans="1:16" x14ac:dyDescent="0.25">
      <c r="A234" s="51"/>
      <c r="B234" s="34"/>
      <c r="C234" s="34"/>
      <c r="D234" s="34"/>
      <c r="E234" s="34"/>
      <c r="F234" s="34"/>
      <c r="G234" s="34"/>
      <c r="H234" s="34"/>
      <c r="I234" s="34"/>
      <c r="J234" s="34"/>
      <c r="K234" s="34"/>
      <c r="L234" s="34"/>
      <c r="M234" s="34"/>
      <c r="N234" s="34"/>
      <c r="O234" s="34"/>
      <c r="P234" s="34"/>
    </row>
    <row r="235" spans="1:16" x14ac:dyDescent="0.25">
      <c r="A235" s="51"/>
      <c r="B235" s="34"/>
      <c r="C235" s="34"/>
      <c r="D235" s="34"/>
      <c r="E235" s="34"/>
      <c r="F235" s="34"/>
      <c r="G235" s="34"/>
      <c r="H235" s="34"/>
      <c r="I235" s="34"/>
      <c r="J235" s="34"/>
      <c r="K235" s="34"/>
      <c r="L235" s="34"/>
      <c r="M235" s="34"/>
      <c r="N235" s="34"/>
      <c r="O235" s="34"/>
      <c r="P235" s="34"/>
    </row>
    <row r="236" spans="1:16" x14ac:dyDescent="0.25">
      <c r="A236" s="51"/>
      <c r="B236" s="34"/>
      <c r="C236" s="34"/>
      <c r="D236" s="34"/>
      <c r="E236" s="34"/>
      <c r="F236" s="34"/>
      <c r="G236" s="34"/>
      <c r="H236" s="34"/>
      <c r="I236" s="34"/>
      <c r="J236" s="34"/>
      <c r="K236" s="34"/>
      <c r="L236" s="34"/>
      <c r="M236" s="34"/>
      <c r="N236" s="34"/>
      <c r="O236" s="34"/>
      <c r="P236" s="34"/>
    </row>
    <row r="237" spans="1:16" x14ac:dyDescent="0.25">
      <c r="A237" s="51"/>
      <c r="B237" s="34"/>
      <c r="C237" s="34"/>
      <c r="D237" s="34"/>
      <c r="E237" s="34"/>
      <c r="F237" s="34"/>
      <c r="G237" s="34"/>
      <c r="H237" s="34"/>
      <c r="I237" s="34"/>
      <c r="J237" s="34"/>
      <c r="K237" s="34"/>
      <c r="L237" s="34"/>
      <c r="M237" s="34"/>
      <c r="N237" s="34"/>
      <c r="O237" s="34"/>
      <c r="P237" s="34"/>
    </row>
    <row r="238" spans="1:16" x14ac:dyDescent="0.25">
      <c r="A238" s="51"/>
      <c r="B238" s="34"/>
      <c r="C238" s="34"/>
      <c r="D238" s="34"/>
      <c r="E238" s="34"/>
      <c r="F238" s="34"/>
      <c r="G238" s="34"/>
      <c r="H238" s="34"/>
      <c r="I238" s="34"/>
      <c r="J238" s="34"/>
      <c r="K238" s="34"/>
      <c r="L238" s="34"/>
      <c r="M238" s="34"/>
      <c r="N238" s="34"/>
      <c r="O238" s="34"/>
      <c r="P238" s="34"/>
    </row>
    <row r="239" spans="1:16" x14ac:dyDescent="0.25">
      <c r="A239" s="51"/>
      <c r="B239" s="34"/>
      <c r="C239" s="34"/>
      <c r="D239" s="34"/>
      <c r="E239" s="34"/>
      <c r="F239" s="34"/>
      <c r="G239" s="34"/>
      <c r="H239" s="34"/>
      <c r="I239" s="34"/>
      <c r="J239" s="34"/>
      <c r="K239" s="34"/>
      <c r="L239" s="34"/>
      <c r="M239" s="34"/>
      <c r="N239" s="34"/>
      <c r="O239" s="34"/>
      <c r="P239" s="34"/>
    </row>
    <row r="240" spans="1:16" x14ac:dyDescent="0.25">
      <c r="A240" s="51"/>
      <c r="B240" s="34"/>
      <c r="C240" s="34"/>
      <c r="D240" s="34"/>
      <c r="E240" s="34"/>
      <c r="F240" s="34"/>
      <c r="G240" s="34"/>
      <c r="H240" s="34"/>
      <c r="I240" s="34"/>
      <c r="J240" s="34"/>
      <c r="K240" s="34"/>
      <c r="L240" s="34"/>
      <c r="M240" s="34"/>
      <c r="N240" s="34"/>
      <c r="O240" s="34"/>
      <c r="P240" s="34"/>
    </row>
    <row r="241" spans="1:16" x14ac:dyDescent="0.25">
      <c r="A241" s="51"/>
      <c r="B241" s="34"/>
      <c r="C241" s="34"/>
      <c r="D241" s="34"/>
      <c r="E241" s="34"/>
      <c r="F241" s="34"/>
      <c r="G241" s="34"/>
      <c r="H241" s="34"/>
      <c r="I241" s="34"/>
      <c r="J241" s="34"/>
      <c r="K241" s="34"/>
      <c r="L241" s="34"/>
      <c r="M241" s="34"/>
      <c r="N241" s="34"/>
      <c r="O241" s="34"/>
      <c r="P241" s="34"/>
    </row>
    <row r="242" spans="1:16" x14ac:dyDescent="0.25">
      <c r="A242" s="51"/>
      <c r="B242" s="34"/>
      <c r="C242" s="34"/>
      <c r="D242" s="34"/>
      <c r="E242" s="34"/>
      <c r="F242" s="34"/>
      <c r="G242" s="34"/>
      <c r="H242" s="34"/>
      <c r="I242" s="34"/>
      <c r="J242" s="34"/>
      <c r="K242" s="34"/>
      <c r="L242" s="34"/>
      <c r="M242" s="34"/>
      <c r="N242" s="34"/>
      <c r="O242" s="34"/>
      <c r="P242" s="34"/>
    </row>
    <row r="243" spans="1:16" x14ac:dyDescent="0.25">
      <c r="A243" s="51"/>
      <c r="B243" s="34"/>
      <c r="C243" s="34"/>
      <c r="D243" s="34"/>
      <c r="E243" s="34"/>
      <c r="F243" s="34"/>
      <c r="G243" s="34"/>
      <c r="H243" s="34"/>
      <c r="I243" s="34"/>
      <c r="J243" s="34"/>
      <c r="K243" s="34"/>
      <c r="L243" s="34"/>
      <c r="M243" s="34"/>
      <c r="N243" s="34"/>
      <c r="O243" s="34"/>
      <c r="P243" s="34"/>
    </row>
    <row r="244" spans="1:16" x14ac:dyDescent="0.25">
      <c r="A244" s="51"/>
      <c r="B244" s="34"/>
      <c r="C244" s="34"/>
      <c r="D244" s="34"/>
      <c r="E244" s="34"/>
      <c r="F244" s="34"/>
      <c r="G244" s="34"/>
      <c r="H244" s="34"/>
      <c r="I244" s="34"/>
      <c r="J244" s="34"/>
      <c r="K244" s="34"/>
      <c r="L244" s="34"/>
      <c r="M244" s="34"/>
      <c r="N244" s="34"/>
      <c r="O244" s="34"/>
      <c r="P244" s="34"/>
    </row>
    <row r="245" spans="1:16" x14ac:dyDescent="0.25">
      <c r="A245" s="51"/>
      <c r="B245" s="34"/>
      <c r="C245" s="34"/>
      <c r="D245" s="34"/>
      <c r="E245" s="34"/>
      <c r="F245" s="34"/>
      <c r="G245" s="34"/>
      <c r="H245" s="34"/>
      <c r="I245" s="34"/>
      <c r="J245" s="34"/>
      <c r="K245" s="34"/>
      <c r="L245" s="34"/>
      <c r="M245" s="34"/>
      <c r="N245" s="34"/>
      <c r="O245" s="34"/>
      <c r="P245" s="34"/>
    </row>
    <row r="246" spans="1:16" x14ac:dyDescent="0.25">
      <c r="A246" s="51"/>
      <c r="B246" s="34"/>
      <c r="C246" s="34"/>
      <c r="D246" s="34"/>
      <c r="E246" s="34"/>
      <c r="F246" s="34"/>
      <c r="G246" s="34"/>
      <c r="H246" s="34"/>
      <c r="I246" s="34"/>
      <c r="J246" s="34"/>
      <c r="K246" s="34"/>
      <c r="L246" s="34"/>
      <c r="M246" s="34"/>
      <c r="N246" s="34"/>
      <c r="O246" s="34"/>
      <c r="P246" s="34"/>
    </row>
    <row r="247" spans="1:16" x14ac:dyDescent="0.25">
      <c r="A247" s="51"/>
      <c r="B247" s="34"/>
      <c r="C247" s="34"/>
      <c r="D247" s="34"/>
      <c r="E247" s="34"/>
      <c r="F247" s="34"/>
      <c r="G247" s="34"/>
      <c r="H247" s="34"/>
      <c r="I247" s="34"/>
      <c r="J247" s="34"/>
      <c r="K247" s="34"/>
      <c r="L247" s="34"/>
      <c r="M247" s="34"/>
      <c r="N247" s="34"/>
      <c r="O247" s="34"/>
      <c r="P247" s="34"/>
    </row>
    <row r="248" spans="1:16" x14ac:dyDescent="0.25">
      <c r="A248" s="51"/>
      <c r="B248" s="34"/>
      <c r="C248" s="34"/>
      <c r="D248" s="34"/>
      <c r="E248" s="34"/>
      <c r="F248" s="34"/>
      <c r="G248" s="34"/>
      <c r="H248" s="34"/>
      <c r="I248" s="34"/>
      <c r="J248" s="34"/>
      <c r="K248" s="34"/>
      <c r="L248" s="34"/>
      <c r="M248" s="34"/>
      <c r="N248" s="34"/>
      <c r="O248" s="34"/>
      <c r="P248" s="34"/>
    </row>
    <row r="249" spans="1:16" x14ac:dyDescent="0.25">
      <c r="A249" s="51"/>
      <c r="B249" s="34"/>
      <c r="C249" s="34"/>
      <c r="D249" s="34"/>
      <c r="E249" s="34"/>
      <c r="F249" s="34"/>
      <c r="G249" s="34"/>
      <c r="H249" s="34"/>
      <c r="I249" s="34"/>
      <c r="J249" s="34"/>
      <c r="K249" s="34"/>
      <c r="L249" s="34"/>
      <c r="M249" s="34"/>
      <c r="N249" s="34"/>
      <c r="O249" s="34"/>
      <c r="P249" s="34"/>
    </row>
    <row r="250" spans="1:16" x14ac:dyDescent="0.25">
      <c r="A250" s="51"/>
      <c r="B250" s="34"/>
      <c r="C250" s="34"/>
      <c r="D250" s="34"/>
      <c r="E250" s="34"/>
      <c r="F250" s="34"/>
      <c r="G250" s="34"/>
      <c r="H250" s="34"/>
      <c r="I250" s="34"/>
      <c r="J250" s="34"/>
      <c r="K250" s="34"/>
      <c r="L250" s="34"/>
      <c r="M250" s="34"/>
      <c r="N250" s="34"/>
      <c r="O250" s="34"/>
      <c r="P250" s="34"/>
    </row>
    <row r="251" spans="1:16" x14ac:dyDescent="0.25">
      <c r="A251" s="51"/>
      <c r="B251" s="34"/>
      <c r="C251" s="34"/>
      <c r="D251" s="34"/>
      <c r="E251" s="34"/>
      <c r="F251" s="34"/>
      <c r="G251" s="34"/>
      <c r="H251" s="34"/>
      <c r="I251" s="34"/>
      <c r="J251" s="34"/>
      <c r="K251" s="34"/>
      <c r="L251" s="34"/>
      <c r="M251" s="34"/>
      <c r="N251" s="34"/>
      <c r="O251" s="34"/>
      <c r="P251" s="34"/>
    </row>
    <row r="252" spans="1:16" x14ac:dyDescent="0.25">
      <c r="A252" s="51"/>
      <c r="B252" s="34"/>
      <c r="C252" s="34"/>
      <c r="D252" s="34"/>
      <c r="E252" s="34"/>
      <c r="F252" s="34"/>
      <c r="G252" s="34"/>
      <c r="H252" s="34"/>
      <c r="I252" s="34"/>
      <c r="J252" s="34"/>
      <c r="K252" s="34"/>
      <c r="L252" s="34"/>
      <c r="M252" s="34"/>
      <c r="N252" s="34"/>
      <c r="O252" s="34"/>
      <c r="P252" s="34"/>
    </row>
    <row r="253" spans="1:16" x14ac:dyDescent="0.25">
      <c r="A253" s="51"/>
      <c r="B253" s="34"/>
      <c r="C253" s="34"/>
      <c r="D253" s="34"/>
      <c r="E253" s="34"/>
      <c r="F253" s="34"/>
      <c r="G253" s="34"/>
      <c r="H253" s="34"/>
      <c r="I253" s="34"/>
      <c r="J253" s="34"/>
      <c r="K253" s="34"/>
      <c r="L253" s="34"/>
      <c r="M253" s="34"/>
      <c r="N253" s="34"/>
      <c r="O253" s="34"/>
      <c r="P253" s="34"/>
    </row>
    <row r="254" spans="1:16" x14ac:dyDescent="0.25">
      <c r="A254" s="51"/>
      <c r="B254" s="34"/>
      <c r="C254" s="34"/>
      <c r="D254" s="34"/>
      <c r="E254" s="34"/>
      <c r="F254" s="34"/>
      <c r="G254" s="34"/>
      <c r="H254" s="34"/>
      <c r="I254" s="34"/>
      <c r="J254" s="34"/>
      <c r="K254" s="34"/>
      <c r="L254" s="34"/>
      <c r="M254" s="34"/>
      <c r="N254" s="34"/>
      <c r="O254" s="34"/>
      <c r="P254" s="34"/>
    </row>
    <row r="255" spans="1:16" x14ac:dyDescent="0.25">
      <c r="A255" s="51"/>
      <c r="B255" s="34"/>
      <c r="C255" s="34"/>
      <c r="D255" s="34"/>
      <c r="E255" s="34"/>
      <c r="F255" s="34"/>
      <c r="G255" s="34"/>
      <c r="H255" s="34"/>
      <c r="I255" s="34"/>
      <c r="J255" s="34"/>
      <c r="K255" s="34"/>
      <c r="L255" s="34"/>
      <c r="M255" s="34"/>
      <c r="N255" s="34"/>
      <c r="O255" s="34"/>
      <c r="P255" s="34"/>
    </row>
    <row r="256" spans="1:16" x14ac:dyDescent="0.25">
      <c r="A256" s="51"/>
      <c r="B256" s="34"/>
      <c r="C256" s="34"/>
      <c r="D256" s="34"/>
      <c r="E256" s="34"/>
      <c r="F256" s="34"/>
      <c r="G256" s="34"/>
      <c r="H256" s="34"/>
      <c r="I256" s="34"/>
      <c r="J256" s="34"/>
      <c r="K256" s="34"/>
      <c r="L256" s="34"/>
      <c r="M256" s="34"/>
      <c r="N256" s="34"/>
      <c r="O256" s="34"/>
      <c r="P256" s="34"/>
    </row>
    <row r="257" spans="1:16" x14ac:dyDescent="0.25">
      <c r="A257" s="51"/>
      <c r="B257" s="34"/>
      <c r="C257" s="34"/>
      <c r="D257" s="34"/>
      <c r="E257" s="34"/>
      <c r="F257" s="34"/>
      <c r="G257" s="34"/>
      <c r="H257" s="34"/>
      <c r="I257" s="34"/>
      <c r="J257" s="34"/>
      <c r="K257" s="34"/>
      <c r="L257" s="34"/>
      <c r="M257" s="34"/>
      <c r="N257" s="34"/>
      <c r="O257" s="34"/>
      <c r="P257" s="34"/>
    </row>
    <row r="258" spans="1:16" x14ac:dyDescent="0.25">
      <c r="A258" s="51"/>
      <c r="B258" s="34"/>
      <c r="C258" s="34"/>
      <c r="D258" s="34"/>
      <c r="E258" s="34"/>
      <c r="F258" s="34"/>
      <c r="G258" s="34"/>
      <c r="H258" s="34"/>
      <c r="I258" s="34"/>
      <c r="J258" s="34"/>
      <c r="K258" s="34"/>
      <c r="L258" s="34"/>
      <c r="M258" s="34"/>
      <c r="N258" s="34"/>
      <c r="O258" s="34"/>
      <c r="P258" s="34"/>
    </row>
    <row r="259" spans="1:16" x14ac:dyDescent="0.25">
      <c r="A259" s="51"/>
      <c r="B259" s="34"/>
      <c r="C259" s="34"/>
      <c r="D259" s="34"/>
      <c r="E259" s="34"/>
      <c r="F259" s="34"/>
      <c r="G259" s="34"/>
      <c r="H259" s="34"/>
      <c r="I259" s="34"/>
      <c r="J259" s="34"/>
      <c r="K259" s="34"/>
      <c r="L259" s="34"/>
      <c r="M259" s="34"/>
      <c r="N259" s="34"/>
      <c r="O259" s="34"/>
      <c r="P259" s="34"/>
    </row>
    <row r="260" spans="1:16" x14ac:dyDescent="0.25">
      <c r="A260" s="51"/>
      <c r="B260" s="34"/>
      <c r="C260" s="34"/>
      <c r="D260" s="34"/>
      <c r="E260" s="34"/>
      <c r="F260" s="34"/>
      <c r="G260" s="34"/>
      <c r="H260" s="34"/>
      <c r="I260" s="34"/>
      <c r="J260" s="34"/>
      <c r="K260" s="34"/>
      <c r="L260" s="34"/>
      <c r="M260" s="34"/>
      <c r="N260" s="34"/>
      <c r="O260" s="34"/>
      <c r="P260" s="34"/>
    </row>
    <row r="261" spans="1:16" x14ac:dyDescent="0.25">
      <c r="A261" s="51"/>
      <c r="B261" s="34"/>
      <c r="C261" s="34"/>
      <c r="D261" s="34"/>
      <c r="E261" s="34"/>
      <c r="F261" s="34"/>
      <c r="G261" s="34"/>
      <c r="H261" s="34"/>
      <c r="I261" s="34"/>
      <c r="J261" s="34"/>
      <c r="K261" s="34"/>
      <c r="L261" s="34"/>
      <c r="M261" s="34"/>
      <c r="N261" s="34"/>
      <c r="O261" s="34"/>
      <c r="P261" s="34"/>
    </row>
    <row r="262" spans="1:16" x14ac:dyDescent="0.25">
      <c r="A262" s="51"/>
      <c r="B262" s="34"/>
      <c r="C262" s="34"/>
      <c r="D262" s="34"/>
      <c r="E262" s="34"/>
      <c r="F262" s="34"/>
      <c r="G262" s="34"/>
      <c r="H262" s="34"/>
      <c r="I262" s="34"/>
      <c r="J262" s="34"/>
      <c r="K262" s="34"/>
      <c r="L262" s="34"/>
      <c r="M262" s="34"/>
      <c r="N262" s="34"/>
      <c r="O262" s="34"/>
      <c r="P262" s="34"/>
    </row>
    <row r="263" spans="1:16" x14ac:dyDescent="0.25">
      <c r="A263" s="51"/>
      <c r="B263" s="34"/>
      <c r="C263" s="34"/>
      <c r="D263" s="34"/>
      <c r="E263" s="34"/>
      <c r="F263" s="34"/>
      <c r="G263" s="34"/>
      <c r="H263" s="34"/>
      <c r="I263" s="34"/>
      <c r="J263" s="34"/>
      <c r="K263" s="34"/>
      <c r="L263" s="34"/>
      <c r="M263" s="34"/>
      <c r="N263" s="34"/>
      <c r="O263" s="34"/>
      <c r="P263" s="34"/>
    </row>
    <row r="264" spans="1:16" x14ac:dyDescent="0.25">
      <c r="A264" s="51"/>
      <c r="B264" s="34"/>
      <c r="C264" s="34"/>
      <c r="D264" s="34"/>
      <c r="E264" s="34"/>
      <c r="F264" s="34"/>
      <c r="G264" s="34"/>
      <c r="H264" s="34"/>
      <c r="I264" s="34"/>
      <c r="J264" s="34"/>
      <c r="K264" s="34"/>
      <c r="L264" s="34"/>
      <c r="M264" s="34"/>
      <c r="N264" s="34"/>
      <c r="O264" s="34"/>
      <c r="P264" s="34"/>
    </row>
    <row r="265" spans="1:16" x14ac:dyDescent="0.25">
      <c r="A265" s="51"/>
      <c r="B265" s="34"/>
      <c r="C265" s="34"/>
      <c r="D265" s="34"/>
      <c r="E265" s="34"/>
      <c r="F265" s="34"/>
      <c r="G265" s="34"/>
      <c r="H265" s="34"/>
      <c r="I265" s="34"/>
      <c r="J265" s="34"/>
      <c r="K265" s="34"/>
      <c r="L265" s="34"/>
      <c r="M265" s="34"/>
      <c r="N265" s="34"/>
      <c r="O265" s="34"/>
      <c r="P265" s="34"/>
    </row>
    <row r="266" spans="1:16" x14ac:dyDescent="0.25">
      <c r="A266" s="51"/>
      <c r="B266" s="34"/>
      <c r="C266" s="34"/>
      <c r="D266" s="34"/>
      <c r="E266" s="34"/>
      <c r="F266" s="34"/>
      <c r="G266" s="34"/>
      <c r="H266" s="34"/>
      <c r="I266" s="34"/>
      <c r="J266" s="34"/>
      <c r="K266" s="34"/>
      <c r="L266" s="34"/>
      <c r="M266" s="34"/>
      <c r="N266" s="34"/>
      <c r="O266" s="34"/>
      <c r="P266" s="34"/>
    </row>
    <row r="267" spans="1:16" x14ac:dyDescent="0.25">
      <c r="A267" s="51"/>
      <c r="B267" s="34"/>
      <c r="C267" s="34"/>
      <c r="D267" s="34"/>
      <c r="E267" s="34"/>
      <c r="F267" s="34"/>
      <c r="G267" s="34"/>
      <c r="H267" s="34"/>
      <c r="I267" s="34"/>
      <c r="J267" s="34"/>
      <c r="K267" s="34"/>
      <c r="L267" s="34"/>
      <c r="M267" s="34"/>
      <c r="N267" s="34"/>
      <c r="O267" s="34"/>
      <c r="P267" s="34"/>
    </row>
    <row r="268" spans="1:16" x14ac:dyDescent="0.25">
      <c r="A268" s="51"/>
      <c r="B268" s="34"/>
      <c r="C268" s="34"/>
      <c r="D268" s="34"/>
      <c r="E268" s="34"/>
      <c r="F268" s="34"/>
      <c r="G268" s="34"/>
      <c r="H268" s="34"/>
      <c r="I268" s="34"/>
      <c r="J268" s="34"/>
      <c r="K268" s="34"/>
      <c r="L268" s="34"/>
      <c r="M268" s="34"/>
      <c r="N268" s="34"/>
      <c r="O268" s="34"/>
      <c r="P268" s="34"/>
    </row>
    <row r="269" spans="1:16" x14ac:dyDescent="0.25">
      <c r="A269" s="51"/>
      <c r="B269" s="34"/>
      <c r="C269" s="34"/>
      <c r="D269" s="34"/>
      <c r="E269" s="34"/>
      <c r="F269" s="34"/>
      <c r="G269" s="34"/>
      <c r="H269" s="34"/>
      <c r="I269" s="34"/>
      <c r="J269" s="34"/>
      <c r="K269" s="34"/>
      <c r="L269" s="34"/>
      <c r="M269" s="34"/>
      <c r="N269" s="34"/>
      <c r="O269" s="34"/>
      <c r="P269" s="34"/>
    </row>
    <row r="270" spans="1:16" x14ac:dyDescent="0.25">
      <c r="A270" s="51"/>
      <c r="B270" s="34"/>
      <c r="C270" s="34"/>
      <c r="D270" s="34"/>
      <c r="E270" s="34"/>
      <c r="F270" s="34"/>
      <c r="G270" s="34"/>
      <c r="H270" s="34"/>
      <c r="I270" s="34"/>
      <c r="J270" s="34"/>
      <c r="K270" s="34"/>
      <c r="L270" s="34"/>
      <c r="M270" s="34"/>
      <c r="N270" s="34"/>
      <c r="O270" s="34"/>
      <c r="P270" s="34"/>
    </row>
    <row r="271" spans="1:16" x14ac:dyDescent="0.25">
      <c r="A271" s="51"/>
      <c r="B271" s="34"/>
      <c r="C271" s="34"/>
      <c r="D271" s="34"/>
      <c r="E271" s="34"/>
      <c r="F271" s="34"/>
      <c r="G271" s="34"/>
      <c r="H271" s="34"/>
      <c r="I271" s="34"/>
      <c r="J271" s="34"/>
      <c r="K271" s="34"/>
      <c r="L271" s="34"/>
      <c r="M271" s="34"/>
      <c r="N271" s="34"/>
      <c r="O271" s="34"/>
      <c r="P271" s="34"/>
    </row>
    <row r="272" spans="1:16" x14ac:dyDescent="0.25">
      <c r="A272" s="51"/>
      <c r="B272" s="34"/>
      <c r="C272" s="34"/>
      <c r="D272" s="34"/>
      <c r="E272" s="34"/>
      <c r="F272" s="34"/>
      <c r="G272" s="34"/>
      <c r="H272" s="34"/>
      <c r="I272" s="34"/>
      <c r="J272" s="34"/>
      <c r="K272" s="34"/>
      <c r="L272" s="34"/>
      <c r="M272" s="34"/>
      <c r="N272" s="34"/>
      <c r="O272" s="34"/>
      <c r="P272" s="34"/>
    </row>
    <row r="273" spans="1:16" x14ac:dyDescent="0.25">
      <c r="A273" s="51"/>
      <c r="B273" s="34"/>
      <c r="C273" s="34"/>
      <c r="D273" s="34"/>
      <c r="E273" s="34"/>
      <c r="F273" s="34"/>
      <c r="G273" s="34"/>
      <c r="H273" s="34"/>
      <c r="I273" s="34"/>
      <c r="J273" s="34"/>
      <c r="K273" s="34"/>
      <c r="L273" s="34"/>
      <c r="M273" s="34"/>
      <c r="N273" s="34"/>
      <c r="O273" s="34"/>
      <c r="P273" s="34"/>
    </row>
    <row r="274" spans="1:16" x14ac:dyDescent="0.25">
      <c r="A274" s="51"/>
      <c r="B274" s="34"/>
      <c r="C274" s="34"/>
      <c r="D274" s="34"/>
      <c r="E274" s="34"/>
      <c r="F274" s="34"/>
      <c r="G274" s="34"/>
      <c r="H274" s="34"/>
      <c r="I274" s="34"/>
      <c r="J274" s="34"/>
      <c r="K274" s="34"/>
      <c r="L274" s="34"/>
      <c r="M274" s="34"/>
      <c r="N274" s="34"/>
      <c r="O274" s="34"/>
      <c r="P274" s="34"/>
    </row>
    <row r="275" spans="1:16" x14ac:dyDescent="0.25">
      <c r="A275" s="51"/>
      <c r="B275" s="34"/>
      <c r="C275" s="34"/>
      <c r="D275" s="34"/>
      <c r="E275" s="34"/>
      <c r="F275" s="34"/>
      <c r="G275" s="34"/>
      <c r="H275" s="34"/>
      <c r="I275" s="34"/>
      <c r="J275" s="34"/>
      <c r="K275" s="34"/>
      <c r="L275" s="34"/>
      <c r="M275" s="34"/>
      <c r="N275" s="34"/>
      <c r="O275" s="34"/>
      <c r="P275" s="34"/>
    </row>
    <row r="276" spans="1:16" x14ac:dyDescent="0.25">
      <c r="A276" s="51"/>
      <c r="B276" s="34"/>
      <c r="C276" s="34"/>
      <c r="D276" s="34"/>
      <c r="E276" s="34"/>
      <c r="F276" s="34"/>
      <c r="G276" s="34"/>
      <c r="H276" s="34"/>
      <c r="I276" s="34"/>
      <c r="J276" s="34"/>
      <c r="K276" s="34"/>
      <c r="L276" s="34"/>
      <c r="M276" s="34"/>
      <c r="N276" s="34"/>
      <c r="O276" s="34"/>
      <c r="P276" s="34"/>
    </row>
    <row r="277" spans="1:16" x14ac:dyDescent="0.25">
      <c r="A277" s="51"/>
      <c r="B277" s="34"/>
      <c r="C277" s="34"/>
      <c r="D277" s="34"/>
      <c r="E277" s="34"/>
      <c r="F277" s="34"/>
      <c r="G277" s="34"/>
      <c r="H277" s="34"/>
      <c r="I277" s="34"/>
      <c r="J277" s="34"/>
      <c r="K277" s="34"/>
      <c r="L277" s="34"/>
      <c r="M277" s="34"/>
      <c r="N277" s="34"/>
      <c r="O277" s="34"/>
      <c r="P277" s="34"/>
    </row>
    <row r="278" spans="1:16" x14ac:dyDescent="0.25">
      <c r="A278" s="51"/>
      <c r="B278" s="34"/>
      <c r="C278" s="34"/>
      <c r="D278" s="34"/>
      <c r="E278" s="34"/>
      <c r="F278" s="34"/>
      <c r="G278" s="34"/>
      <c r="H278" s="34"/>
      <c r="I278" s="34"/>
      <c r="J278" s="34"/>
      <c r="K278" s="34"/>
      <c r="L278" s="34"/>
      <c r="M278" s="34"/>
      <c r="N278" s="34"/>
      <c r="O278" s="34"/>
      <c r="P278" s="34"/>
    </row>
    <row r="279" spans="1:16" x14ac:dyDescent="0.25">
      <c r="A279" s="51"/>
      <c r="B279" s="34"/>
      <c r="C279" s="34"/>
      <c r="D279" s="34"/>
      <c r="E279" s="34"/>
      <c r="F279" s="34"/>
      <c r="G279" s="34"/>
      <c r="H279" s="34"/>
      <c r="I279" s="34"/>
      <c r="J279" s="34"/>
      <c r="K279" s="34"/>
      <c r="L279" s="34"/>
      <c r="M279" s="34"/>
      <c r="N279" s="34"/>
      <c r="O279" s="34"/>
      <c r="P279" s="34"/>
    </row>
    <row r="280" spans="1:16" x14ac:dyDescent="0.25">
      <c r="A280" s="51"/>
      <c r="B280" s="34"/>
      <c r="C280" s="34"/>
      <c r="D280" s="34"/>
      <c r="E280" s="34"/>
      <c r="F280" s="34"/>
      <c r="G280" s="34"/>
      <c r="H280" s="34"/>
      <c r="I280" s="34"/>
      <c r="J280" s="34"/>
      <c r="K280" s="34"/>
      <c r="L280" s="34"/>
      <c r="M280" s="34"/>
      <c r="N280" s="34"/>
      <c r="O280" s="34"/>
      <c r="P280" s="34"/>
    </row>
    <row r="281" spans="1:16" x14ac:dyDescent="0.25">
      <c r="A281" s="51"/>
      <c r="B281" s="34"/>
      <c r="C281" s="34"/>
      <c r="D281" s="34"/>
      <c r="E281" s="34"/>
      <c r="F281" s="34"/>
      <c r="G281" s="34"/>
      <c r="H281" s="34"/>
      <c r="I281" s="34"/>
      <c r="J281" s="34"/>
      <c r="K281" s="34"/>
      <c r="L281" s="34"/>
      <c r="M281" s="34"/>
      <c r="N281" s="34"/>
      <c r="O281" s="34"/>
      <c r="P281" s="34"/>
    </row>
    <row r="282" spans="1:16" x14ac:dyDescent="0.25">
      <c r="A282" s="51"/>
      <c r="B282" s="34"/>
      <c r="C282" s="34"/>
      <c r="D282" s="34"/>
      <c r="E282" s="34"/>
      <c r="F282" s="34"/>
      <c r="G282" s="34"/>
      <c r="H282" s="34"/>
      <c r="I282" s="34"/>
      <c r="J282" s="34"/>
      <c r="K282" s="34"/>
      <c r="L282" s="34"/>
      <c r="M282" s="34"/>
      <c r="N282" s="34"/>
      <c r="O282" s="34"/>
      <c r="P282" s="34"/>
    </row>
    <row r="283" spans="1:16" x14ac:dyDescent="0.25">
      <c r="A283" s="51"/>
      <c r="B283" s="34"/>
      <c r="C283" s="34"/>
      <c r="D283" s="34"/>
      <c r="E283" s="34"/>
      <c r="F283" s="34"/>
      <c r="G283" s="34"/>
      <c r="H283" s="34"/>
      <c r="I283" s="34"/>
      <c r="J283" s="34"/>
      <c r="K283" s="34"/>
      <c r="L283" s="34"/>
      <c r="M283" s="34"/>
      <c r="N283" s="34"/>
      <c r="O283" s="34"/>
      <c r="P283" s="34"/>
    </row>
    <row r="284" spans="1:16" x14ac:dyDescent="0.25">
      <c r="A284" s="51"/>
      <c r="B284" s="34"/>
      <c r="C284" s="34"/>
      <c r="D284" s="34"/>
      <c r="E284" s="34"/>
      <c r="F284" s="34"/>
      <c r="G284" s="34"/>
      <c r="H284" s="34"/>
      <c r="I284" s="34"/>
      <c r="J284" s="34"/>
      <c r="K284" s="34"/>
      <c r="L284" s="34"/>
      <c r="M284" s="34"/>
      <c r="N284" s="34"/>
      <c r="O284" s="34"/>
      <c r="P284" s="34"/>
    </row>
    <row r="285" spans="1:16" x14ac:dyDescent="0.25">
      <c r="A285" s="51"/>
      <c r="B285" s="34"/>
      <c r="C285" s="34"/>
      <c r="D285" s="34"/>
      <c r="E285" s="34"/>
      <c r="F285" s="34"/>
      <c r="G285" s="34"/>
      <c r="H285" s="34"/>
      <c r="I285" s="34"/>
      <c r="J285" s="34"/>
      <c r="K285" s="34"/>
      <c r="L285" s="34"/>
      <c r="M285" s="34"/>
      <c r="N285" s="34"/>
      <c r="O285" s="34"/>
      <c r="P285" s="34"/>
    </row>
    <row r="286" spans="1:16" x14ac:dyDescent="0.25">
      <c r="A286" s="51"/>
      <c r="B286" s="34"/>
      <c r="C286" s="34"/>
      <c r="D286" s="34"/>
      <c r="E286" s="34"/>
      <c r="F286" s="34"/>
      <c r="G286" s="34"/>
      <c r="H286" s="34"/>
      <c r="I286" s="34"/>
      <c r="J286" s="34"/>
      <c r="K286" s="34"/>
      <c r="L286" s="34"/>
      <c r="M286" s="34"/>
      <c r="N286" s="34"/>
      <c r="O286" s="34"/>
      <c r="P286" s="34"/>
    </row>
    <row r="287" spans="1:16" x14ac:dyDescent="0.25">
      <c r="A287" s="51"/>
      <c r="B287" s="34"/>
      <c r="C287" s="34"/>
      <c r="D287" s="34"/>
      <c r="E287" s="34"/>
      <c r="F287" s="34"/>
      <c r="G287" s="34"/>
      <c r="H287" s="34"/>
      <c r="I287" s="34"/>
      <c r="J287" s="34"/>
      <c r="K287" s="34"/>
      <c r="L287" s="34"/>
      <c r="M287" s="34"/>
      <c r="N287" s="34"/>
      <c r="O287" s="34"/>
      <c r="P287" s="34"/>
    </row>
    <row r="288" spans="1:16" x14ac:dyDescent="0.25">
      <c r="A288" s="51"/>
      <c r="B288" s="34"/>
      <c r="C288" s="34"/>
      <c r="D288" s="34"/>
      <c r="E288" s="34"/>
      <c r="F288" s="34"/>
      <c r="G288" s="34"/>
      <c r="H288" s="34"/>
      <c r="I288" s="34"/>
      <c r="J288" s="34"/>
      <c r="K288" s="34"/>
      <c r="L288" s="34"/>
      <c r="M288" s="34"/>
      <c r="N288" s="34"/>
      <c r="O288" s="34"/>
      <c r="P288" s="34"/>
    </row>
    <row r="289" spans="1:16" x14ac:dyDescent="0.25">
      <c r="A289" s="51"/>
      <c r="B289" s="34"/>
      <c r="C289" s="34"/>
      <c r="D289" s="34"/>
      <c r="E289" s="34"/>
      <c r="F289" s="34"/>
      <c r="G289" s="34"/>
      <c r="H289" s="34"/>
      <c r="I289" s="34"/>
      <c r="J289" s="34"/>
      <c r="K289" s="34"/>
      <c r="L289" s="34"/>
      <c r="M289" s="34"/>
      <c r="N289" s="34"/>
      <c r="O289" s="34"/>
      <c r="P289" s="34"/>
    </row>
    <row r="290" spans="1:16" x14ac:dyDescent="0.25">
      <c r="A290" s="51"/>
      <c r="B290" s="34"/>
      <c r="C290" s="34"/>
      <c r="D290" s="34"/>
      <c r="E290" s="34"/>
      <c r="F290" s="34"/>
      <c r="G290" s="34"/>
      <c r="H290" s="34"/>
      <c r="I290" s="34"/>
      <c r="J290" s="34"/>
      <c r="K290" s="34"/>
      <c r="L290" s="34"/>
      <c r="M290" s="34"/>
      <c r="N290" s="34"/>
      <c r="O290" s="34"/>
      <c r="P290" s="34"/>
    </row>
    <row r="291" spans="1:16" x14ac:dyDescent="0.25">
      <c r="A291" s="51"/>
      <c r="B291" s="34"/>
      <c r="C291" s="34"/>
      <c r="D291" s="34"/>
      <c r="E291" s="34"/>
      <c r="F291" s="34"/>
      <c r="G291" s="34"/>
      <c r="H291" s="34"/>
      <c r="I291" s="34"/>
      <c r="J291" s="34"/>
      <c r="K291" s="34"/>
      <c r="L291" s="34"/>
      <c r="M291" s="34"/>
      <c r="N291" s="34"/>
      <c r="O291" s="34"/>
      <c r="P291" s="34"/>
    </row>
    <row r="292" spans="1:16" x14ac:dyDescent="0.25">
      <c r="A292" s="51"/>
      <c r="B292" s="34"/>
      <c r="C292" s="34"/>
      <c r="D292" s="34"/>
      <c r="E292" s="34"/>
      <c r="F292" s="34"/>
      <c r="G292" s="34"/>
      <c r="H292" s="34"/>
      <c r="I292" s="34"/>
      <c r="J292" s="34"/>
      <c r="K292" s="34"/>
      <c r="L292" s="34"/>
      <c r="M292" s="34"/>
      <c r="N292" s="34"/>
      <c r="O292" s="34"/>
      <c r="P292" s="34"/>
    </row>
    <row r="293" spans="1:16" x14ac:dyDescent="0.25">
      <c r="A293" s="51"/>
      <c r="B293" s="34"/>
      <c r="C293" s="34"/>
      <c r="D293" s="34"/>
      <c r="E293" s="34"/>
      <c r="F293" s="34"/>
      <c r="G293" s="34"/>
      <c r="H293" s="34"/>
      <c r="I293" s="34"/>
      <c r="J293" s="34"/>
      <c r="K293" s="34"/>
      <c r="L293" s="34"/>
      <c r="M293" s="34"/>
      <c r="N293" s="34"/>
      <c r="O293" s="34"/>
      <c r="P293" s="34"/>
    </row>
    <row r="294" spans="1:16" x14ac:dyDescent="0.25">
      <c r="A294" s="51"/>
      <c r="B294" s="34"/>
      <c r="C294" s="34"/>
      <c r="D294" s="34"/>
      <c r="E294" s="34"/>
      <c r="F294" s="34"/>
      <c r="G294" s="34"/>
      <c r="H294" s="34"/>
      <c r="I294" s="34"/>
      <c r="J294" s="34"/>
      <c r="K294" s="34"/>
      <c r="L294" s="34"/>
      <c r="M294" s="34"/>
      <c r="N294" s="34"/>
      <c r="O294" s="34"/>
      <c r="P294" s="34"/>
    </row>
    <row r="295" spans="1:16" x14ac:dyDescent="0.25">
      <c r="A295" s="51"/>
      <c r="B295" s="34"/>
      <c r="C295" s="34"/>
      <c r="D295" s="34"/>
      <c r="E295" s="34"/>
      <c r="F295" s="34"/>
      <c r="G295" s="34"/>
      <c r="H295" s="34"/>
      <c r="I295" s="34"/>
      <c r="J295" s="34"/>
      <c r="K295" s="34"/>
      <c r="L295" s="34"/>
      <c r="M295" s="34"/>
      <c r="N295" s="34"/>
      <c r="O295" s="34"/>
      <c r="P295" s="34"/>
    </row>
    <row r="296" spans="1:16" x14ac:dyDescent="0.25">
      <c r="A296" s="51"/>
      <c r="B296" s="34"/>
      <c r="C296" s="34"/>
      <c r="D296" s="34"/>
      <c r="E296" s="34"/>
      <c r="F296" s="34"/>
      <c r="G296" s="34"/>
      <c r="H296" s="34"/>
      <c r="I296" s="34"/>
      <c r="J296" s="34"/>
      <c r="K296" s="34"/>
      <c r="L296" s="34"/>
      <c r="M296" s="34"/>
      <c r="N296" s="34"/>
      <c r="O296" s="34"/>
      <c r="P296" s="34"/>
    </row>
    <row r="297" spans="1:16" x14ac:dyDescent="0.25">
      <c r="A297" s="51"/>
      <c r="B297" s="34"/>
      <c r="C297" s="34"/>
      <c r="D297" s="34"/>
      <c r="E297" s="34"/>
      <c r="F297" s="34"/>
      <c r="G297" s="34"/>
      <c r="H297" s="34"/>
      <c r="I297" s="34"/>
      <c r="J297" s="34"/>
      <c r="K297" s="34"/>
      <c r="L297" s="34"/>
      <c r="M297" s="34"/>
      <c r="N297" s="34"/>
      <c r="O297" s="34"/>
      <c r="P297" s="34"/>
    </row>
    <row r="298" spans="1:16" x14ac:dyDescent="0.25">
      <c r="A298" s="51"/>
      <c r="B298" s="34"/>
      <c r="C298" s="34"/>
      <c r="D298" s="34"/>
      <c r="E298" s="34"/>
      <c r="F298" s="34"/>
      <c r="G298" s="34"/>
      <c r="H298" s="34"/>
      <c r="I298" s="34"/>
      <c r="J298" s="34"/>
      <c r="K298" s="34"/>
      <c r="L298" s="34"/>
      <c r="M298" s="34"/>
      <c r="N298" s="34"/>
      <c r="O298" s="34"/>
      <c r="P298" s="34"/>
    </row>
    <row r="299" spans="1:16" x14ac:dyDescent="0.25">
      <c r="A299" s="51"/>
      <c r="B299" s="34"/>
      <c r="C299" s="34"/>
      <c r="D299" s="34"/>
      <c r="E299" s="34"/>
      <c r="F299" s="34"/>
      <c r="G299" s="34"/>
      <c r="H299" s="34"/>
      <c r="I299" s="34"/>
      <c r="J299" s="34"/>
      <c r="K299" s="34"/>
      <c r="L299" s="34"/>
      <c r="M299" s="34"/>
      <c r="N299" s="34"/>
      <c r="O299" s="34"/>
      <c r="P299" s="34"/>
    </row>
    <row r="300" spans="1:16" x14ac:dyDescent="0.25">
      <c r="A300" s="51"/>
      <c r="B300" s="34"/>
      <c r="C300" s="34"/>
      <c r="D300" s="34"/>
      <c r="E300" s="34"/>
      <c r="F300" s="34"/>
      <c r="G300" s="34"/>
      <c r="H300" s="34"/>
      <c r="I300" s="34"/>
      <c r="J300" s="34"/>
      <c r="K300" s="34"/>
      <c r="L300" s="34"/>
      <c r="M300" s="34"/>
      <c r="N300" s="34"/>
      <c r="O300" s="34"/>
      <c r="P300" s="34"/>
    </row>
    <row r="301" spans="1:16" x14ac:dyDescent="0.25">
      <c r="A301" s="51"/>
      <c r="B301" s="34"/>
      <c r="C301" s="34"/>
      <c r="D301" s="34"/>
      <c r="E301" s="34"/>
      <c r="F301" s="34"/>
      <c r="G301" s="34"/>
      <c r="H301" s="34"/>
      <c r="I301" s="34"/>
      <c r="J301" s="34"/>
      <c r="K301" s="34"/>
      <c r="L301" s="34"/>
      <c r="M301" s="34"/>
      <c r="N301" s="34"/>
      <c r="O301" s="34"/>
      <c r="P301" s="34"/>
    </row>
    <row r="302" spans="1:16" x14ac:dyDescent="0.25">
      <c r="A302" s="51"/>
      <c r="B302" s="34"/>
      <c r="C302" s="34"/>
      <c r="D302" s="34"/>
      <c r="E302" s="34"/>
      <c r="F302" s="34"/>
      <c r="G302" s="34"/>
      <c r="H302" s="34"/>
      <c r="I302" s="34"/>
      <c r="J302" s="34"/>
      <c r="K302" s="34"/>
      <c r="L302" s="34"/>
      <c r="M302" s="34"/>
      <c r="N302" s="34"/>
      <c r="O302" s="34"/>
      <c r="P302" s="34"/>
    </row>
    <row r="303" spans="1:16" x14ac:dyDescent="0.25">
      <c r="A303" s="51"/>
      <c r="B303" s="34"/>
      <c r="C303" s="34"/>
      <c r="D303" s="34"/>
      <c r="E303" s="34"/>
      <c r="F303" s="34"/>
      <c r="G303" s="34"/>
      <c r="H303" s="34"/>
      <c r="I303" s="34"/>
      <c r="J303" s="34"/>
      <c r="K303" s="34"/>
      <c r="L303" s="34"/>
      <c r="M303" s="34"/>
      <c r="N303" s="34"/>
      <c r="O303" s="34"/>
      <c r="P303" s="34"/>
    </row>
    <row r="304" spans="1:16" x14ac:dyDescent="0.25">
      <c r="A304" s="51"/>
      <c r="B304" s="34"/>
      <c r="C304" s="34"/>
      <c r="D304" s="34"/>
      <c r="E304" s="34"/>
      <c r="F304" s="34"/>
      <c r="G304" s="34"/>
      <c r="H304" s="34"/>
      <c r="I304" s="34"/>
      <c r="J304" s="34"/>
      <c r="K304" s="34"/>
      <c r="L304" s="34"/>
      <c r="M304" s="34"/>
      <c r="N304" s="34"/>
      <c r="O304" s="34"/>
      <c r="P304" s="34"/>
    </row>
    <row r="305" spans="1:16" x14ac:dyDescent="0.25">
      <c r="A305" s="51"/>
      <c r="B305" s="34"/>
      <c r="C305" s="34"/>
      <c r="D305" s="34"/>
      <c r="E305" s="34"/>
      <c r="F305" s="34"/>
      <c r="G305" s="34"/>
      <c r="H305" s="34"/>
      <c r="I305" s="34"/>
      <c r="J305" s="34"/>
      <c r="K305" s="34"/>
      <c r="L305" s="34"/>
      <c r="M305" s="34"/>
      <c r="N305" s="34"/>
      <c r="O305" s="34"/>
      <c r="P305" s="34"/>
    </row>
    <row r="306" spans="1:16" x14ac:dyDescent="0.25">
      <c r="A306" s="51"/>
      <c r="B306" s="34"/>
      <c r="C306" s="34"/>
      <c r="D306" s="34"/>
      <c r="E306" s="34"/>
      <c r="F306" s="34"/>
      <c r="G306" s="34"/>
      <c r="H306" s="34"/>
      <c r="I306" s="34"/>
      <c r="J306" s="34"/>
      <c r="K306" s="34"/>
      <c r="L306" s="34"/>
      <c r="M306" s="34"/>
      <c r="N306" s="34"/>
      <c r="O306" s="34"/>
      <c r="P306" s="34"/>
    </row>
    <row r="307" spans="1:16" x14ac:dyDescent="0.25">
      <c r="A307" s="51"/>
      <c r="B307" s="34"/>
      <c r="C307" s="34"/>
      <c r="D307" s="34"/>
      <c r="E307" s="34"/>
      <c r="F307" s="34"/>
      <c r="G307" s="34"/>
      <c r="H307" s="34"/>
      <c r="I307" s="34"/>
      <c r="J307" s="34"/>
      <c r="K307" s="34"/>
      <c r="L307" s="34"/>
      <c r="M307" s="34"/>
      <c r="N307" s="34"/>
      <c r="O307" s="34"/>
      <c r="P307" s="34"/>
    </row>
    <row r="308" spans="1:16" x14ac:dyDescent="0.25">
      <c r="A308" s="51"/>
      <c r="B308" s="34"/>
      <c r="C308" s="34"/>
      <c r="D308" s="34"/>
      <c r="E308" s="34"/>
      <c r="F308" s="34"/>
      <c r="G308" s="34"/>
      <c r="H308" s="34"/>
      <c r="I308" s="34"/>
      <c r="J308" s="34"/>
      <c r="K308" s="34"/>
      <c r="L308" s="34"/>
      <c r="M308" s="34"/>
      <c r="N308" s="34"/>
      <c r="O308" s="34"/>
      <c r="P308" s="34"/>
    </row>
    <row r="309" spans="1:16" x14ac:dyDescent="0.25">
      <c r="A309" s="51"/>
      <c r="B309" s="34"/>
      <c r="C309" s="34"/>
      <c r="D309" s="34"/>
      <c r="E309" s="34"/>
      <c r="F309" s="34"/>
      <c r="G309" s="34"/>
      <c r="H309" s="34"/>
      <c r="I309" s="34"/>
      <c r="J309" s="34"/>
      <c r="K309" s="34"/>
      <c r="L309" s="34"/>
      <c r="M309" s="34"/>
      <c r="N309" s="34"/>
      <c r="O309" s="34"/>
      <c r="P309" s="34"/>
    </row>
    <row r="310" spans="1:16" x14ac:dyDescent="0.25">
      <c r="A310" s="51"/>
      <c r="B310" s="34"/>
      <c r="C310" s="34"/>
      <c r="D310" s="34"/>
      <c r="E310" s="34"/>
      <c r="F310" s="34"/>
      <c r="G310" s="34"/>
      <c r="H310" s="34"/>
      <c r="I310" s="34"/>
      <c r="J310" s="34"/>
      <c r="K310" s="34"/>
      <c r="L310" s="34"/>
      <c r="M310" s="34"/>
      <c r="N310" s="34"/>
      <c r="O310" s="34"/>
      <c r="P310" s="34"/>
    </row>
    <row r="311" spans="1:16" x14ac:dyDescent="0.25">
      <c r="A311" s="51"/>
      <c r="B311" s="34"/>
      <c r="C311" s="34"/>
      <c r="D311" s="34"/>
      <c r="E311" s="34"/>
      <c r="F311" s="34"/>
      <c r="G311" s="34"/>
      <c r="H311" s="34"/>
      <c r="I311" s="34"/>
      <c r="J311" s="34"/>
      <c r="K311" s="34"/>
      <c r="L311" s="34"/>
      <c r="M311" s="34"/>
      <c r="N311" s="34"/>
      <c r="O311" s="34"/>
      <c r="P311" s="34"/>
    </row>
    <row r="312" spans="1:16" x14ac:dyDescent="0.25">
      <c r="A312" s="51"/>
      <c r="B312" s="34"/>
      <c r="C312" s="34"/>
      <c r="D312" s="34"/>
      <c r="E312" s="34"/>
      <c r="F312" s="34"/>
      <c r="G312" s="34"/>
      <c r="H312" s="34"/>
      <c r="I312" s="34"/>
      <c r="J312" s="34"/>
      <c r="K312" s="34"/>
      <c r="L312" s="34"/>
      <c r="M312" s="34"/>
      <c r="N312" s="34"/>
      <c r="O312" s="34"/>
      <c r="P312" s="34"/>
    </row>
    <row r="313" spans="1:16" x14ac:dyDescent="0.25">
      <c r="A313" s="51"/>
      <c r="B313" s="34"/>
      <c r="C313" s="34"/>
      <c r="D313" s="34"/>
      <c r="E313" s="34"/>
      <c r="F313" s="34"/>
      <c r="G313" s="34"/>
      <c r="H313" s="34"/>
      <c r="I313" s="34"/>
      <c r="J313" s="34"/>
      <c r="K313" s="34"/>
      <c r="L313" s="34"/>
      <c r="M313" s="34"/>
      <c r="N313" s="34"/>
      <c r="O313" s="34"/>
      <c r="P313" s="34"/>
    </row>
    <row r="314" spans="1:16" x14ac:dyDescent="0.25">
      <c r="A314" s="51"/>
      <c r="B314" s="34"/>
      <c r="C314" s="34"/>
      <c r="D314" s="34"/>
      <c r="E314" s="34"/>
      <c r="F314" s="34"/>
      <c r="G314" s="34"/>
      <c r="H314" s="34"/>
      <c r="I314" s="34"/>
      <c r="J314" s="34"/>
      <c r="K314" s="34"/>
      <c r="L314" s="34"/>
      <c r="M314" s="34"/>
      <c r="N314" s="34"/>
      <c r="O314" s="34"/>
      <c r="P314" s="34"/>
    </row>
    <row r="315" spans="1:16" x14ac:dyDescent="0.25">
      <c r="A315" s="51"/>
      <c r="B315" s="34"/>
      <c r="C315" s="34"/>
      <c r="D315" s="34"/>
      <c r="E315" s="34"/>
      <c r="F315" s="34"/>
      <c r="G315" s="34"/>
      <c r="H315" s="34"/>
      <c r="I315" s="34"/>
      <c r="J315" s="34"/>
      <c r="K315" s="34"/>
      <c r="L315" s="34"/>
      <c r="M315" s="34"/>
      <c r="N315" s="34"/>
      <c r="O315" s="34"/>
      <c r="P315" s="34"/>
    </row>
    <row r="316" spans="1:16" x14ac:dyDescent="0.25">
      <c r="A316" s="51"/>
      <c r="B316" s="34"/>
      <c r="C316" s="34"/>
      <c r="D316" s="34"/>
      <c r="E316" s="34"/>
      <c r="F316" s="34"/>
      <c r="G316" s="34"/>
      <c r="H316" s="34"/>
      <c r="I316" s="34"/>
      <c r="J316" s="34"/>
      <c r="K316" s="34"/>
      <c r="L316" s="34"/>
      <c r="M316" s="34"/>
      <c r="N316" s="34"/>
      <c r="O316" s="34"/>
      <c r="P316" s="34"/>
    </row>
    <row r="317" spans="1:16" x14ac:dyDescent="0.25">
      <c r="B317" s="34"/>
      <c r="C317" s="34"/>
      <c r="D317" s="34"/>
      <c r="E317" s="34"/>
      <c r="F317" s="34"/>
      <c r="G317" s="34"/>
      <c r="H317" s="34"/>
      <c r="I317" s="34"/>
      <c r="J317" s="34"/>
      <c r="K317" s="34"/>
      <c r="L317" s="34"/>
      <c r="M317" s="34"/>
      <c r="N317" s="34"/>
      <c r="O317" s="34"/>
      <c r="P317" s="34"/>
    </row>
    <row r="318" spans="1:16" x14ac:dyDescent="0.25">
      <c r="B318" s="34"/>
      <c r="C318" s="34"/>
      <c r="D318" s="34"/>
      <c r="E318" s="34"/>
      <c r="F318" s="34"/>
      <c r="G318" s="34"/>
      <c r="H318" s="34"/>
      <c r="I318" s="34"/>
      <c r="J318" s="34"/>
      <c r="K318" s="34"/>
      <c r="L318" s="34"/>
      <c r="M318" s="34"/>
      <c r="N318" s="34"/>
      <c r="O318" s="34"/>
      <c r="P318" s="34"/>
    </row>
    <row r="319" spans="1:16" x14ac:dyDescent="0.25">
      <c r="B319" s="34"/>
      <c r="C319" s="34"/>
      <c r="D319" s="34"/>
      <c r="E319" s="34"/>
      <c r="F319" s="34"/>
      <c r="G319" s="34"/>
      <c r="H319" s="34"/>
      <c r="I319" s="34"/>
      <c r="J319" s="34"/>
      <c r="K319" s="34"/>
      <c r="L319" s="34"/>
      <c r="M319" s="34"/>
      <c r="N319" s="34"/>
      <c r="O319" s="34"/>
      <c r="P319"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92D050"/>
    <pageSetUpPr fitToPage="1"/>
  </sheetPr>
  <dimension ref="A1:I13"/>
  <sheetViews>
    <sheetView zoomScale="85" zoomScaleNormal="85" workbookViewId="0"/>
  </sheetViews>
  <sheetFormatPr defaultColWidth="9.140625" defaultRowHeight="15.75" x14ac:dyDescent="0.25"/>
  <cols>
    <col min="1" max="1" width="9.140625" style="93"/>
    <col min="2" max="2" width="111.42578125" style="100" customWidth="1"/>
    <col min="3" max="3" width="38" style="103" customWidth="1"/>
    <col min="4" max="4" width="26.5703125" style="104" customWidth="1"/>
    <col min="5" max="16384" width="9.140625" style="93"/>
  </cols>
  <sheetData>
    <row r="1" spans="1:9" x14ac:dyDescent="0.25">
      <c r="A1" s="447"/>
      <c r="B1" s="697" t="s">
        <v>216</v>
      </c>
      <c r="C1" s="697"/>
      <c r="D1" s="698"/>
    </row>
    <row r="2" spans="1:9" x14ac:dyDescent="0.25">
      <c r="A2" s="449"/>
      <c r="B2" s="699"/>
      <c r="C2" s="699"/>
      <c r="D2" s="700"/>
    </row>
    <row r="3" spans="1:9" ht="15.75" customHeight="1" x14ac:dyDescent="0.35">
      <c r="A3" s="449"/>
      <c r="B3" s="442"/>
      <c r="C3" s="94"/>
      <c r="D3" s="95"/>
    </row>
    <row r="4" spans="1:9" ht="63" x14ac:dyDescent="0.35">
      <c r="A4" s="449"/>
      <c r="B4" s="443">
        <f>'SFA PROCUREMENT TABLE'!$A$1:$D$1</f>
        <v>0</v>
      </c>
      <c r="C4" s="106" t="s">
        <v>438</v>
      </c>
      <c r="D4" s="96" t="s">
        <v>243</v>
      </c>
    </row>
    <row r="5" spans="1:9" ht="181.5" customHeight="1" thickBot="1" x14ac:dyDescent="0.3">
      <c r="A5" s="449"/>
      <c r="B5" s="444" t="s">
        <v>930</v>
      </c>
      <c r="C5" s="272"/>
      <c r="D5" s="273"/>
    </row>
    <row r="6" spans="1:9" ht="43.5" customHeight="1" thickBot="1" x14ac:dyDescent="0.3">
      <c r="A6" s="464"/>
      <c r="B6" s="329" t="s">
        <v>929</v>
      </c>
      <c r="C6" s="369"/>
      <c r="D6" s="97" t="str">
        <f>IF(C6="non-compliant", "COMMENT IS REQUIRED", "")</f>
        <v/>
      </c>
    </row>
    <row r="7" spans="1:9" ht="32.25" thickBot="1" x14ac:dyDescent="0.3">
      <c r="A7" s="464"/>
      <c r="B7" s="445" t="s">
        <v>406</v>
      </c>
      <c r="C7" s="369"/>
      <c r="D7" s="97" t="str">
        <f>IF(C7="non-compliant", "COMMENT IS REQUIRED", "")</f>
        <v/>
      </c>
    </row>
    <row r="8" spans="1:9" s="100" customFormat="1" ht="31.5" customHeight="1" thickBot="1" x14ac:dyDescent="0.3">
      <c r="A8" s="448"/>
      <c r="B8" s="446" t="s">
        <v>392</v>
      </c>
      <c r="C8" s="101"/>
      <c r="D8" s="99"/>
      <c r="E8" s="93"/>
      <c r="F8" s="93"/>
      <c r="G8" s="93"/>
      <c r="H8" s="93"/>
      <c r="I8" s="93"/>
    </row>
    <row r="9" spans="1:9" ht="93" customHeight="1" x14ac:dyDescent="0.25">
      <c r="B9" s="102"/>
    </row>
    <row r="10" spans="1:9" ht="93" customHeight="1" x14ac:dyDescent="0.25">
      <c r="B10" s="105"/>
    </row>
    <row r="11" spans="1:9" ht="93" customHeight="1" x14ac:dyDescent="0.25"/>
    <row r="12" spans="1:9" ht="93" customHeight="1" x14ac:dyDescent="0.25"/>
    <row r="13" spans="1:9" ht="93" customHeight="1" x14ac:dyDescent="0.25"/>
  </sheetData>
  <mergeCells count="1">
    <mergeCell ref="B1:D2"/>
  </mergeCells>
  <dataValidations count="1">
    <dataValidation type="list" allowBlank="1" showInputMessage="1" showErrorMessage="1" sqref="C8" xr:uid="{00000000-0002-0000-0800-000000000000}">
      <formula1>Answerstwo</formula1>
    </dataValidation>
  </dataValidations>
  <pageMargins left="0.45" right="0.45" top="0.75" bottom="0.75" header="0.3" footer="0.3"/>
  <pageSetup scale="5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'Data sets '!$A$220:$A$222</xm:f>
          </x14:formula1>
          <xm:sqref>C6:C7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_x0020_Status xmlns="76414393-1dbb-4232-8691-371b83ebe9e8" xsi:nil="true"/>
    <ParentID xmlns="76414393-1dbb-4232-8691-371b83ebe9e8">78425</ParentID>
    <Document_x0020_Type xmlns="76414393-1dbb-4232-8691-371b83ebe9e8" xsi:nil="true"/>
    <ParentContentType xmlns="76414393-1dbb-4232-8691-371b83ebe9e8">Work Package</ParentContentType>
  </documentManagement>
</p:properties>
</file>

<file path=customXml/item3.xml><?xml version="1.0" encoding="utf-8"?>
<ct:contentTypeSchema xmlns:ct="http://schemas.microsoft.com/office/2006/metadata/contentType" xmlns:ma="http://schemas.microsoft.com/office/2006/metadata/properties/metaAttributes" ct:_="" ma:_="" ma:contentTypeName="Mercury Document" ma:contentTypeID="0x0101003CAA27F9BB162844A957B453487AD27500CEBE9043B180804094C552881CAC7CD8" ma:contentTypeVersion="56" ma:contentTypeDescription="Documents managed within Mercury" ma:contentTypeScope="" ma:versionID="bbb7f9733f6855279737af52c3abc5db">
  <xsd:schema xmlns:xsd="http://www.w3.org/2001/XMLSchema" xmlns:p="http://schemas.microsoft.com/office/2006/metadata/properties" xmlns:ns2="76414393-1dbb-4232-8691-371b83ebe9e8" targetNamespace="http://schemas.microsoft.com/office/2006/metadata/properties" ma:root="true" ma:fieldsID="e4a3c6c8ea3d1a0459987c682f025d69" ns2:_="">
    <xsd:import namespace="76414393-1dbb-4232-8691-371b83ebe9e8"/>
    <xsd:element name="properties">
      <xsd:complexType>
        <xsd:sequence>
          <xsd:element name="documentManagement">
            <xsd:complexType>
              <xsd:all>
                <xsd:element ref="ns2:Document_x0020_Type" minOccurs="0"/>
                <xsd:element ref="ns2:Document_x0020_Status" minOccurs="0"/>
                <xsd:element ref="ns2:ParentContentType" minOccurs="0"/>
                <xsd:element ref="ns2:ParentID" minOccurs="0"/>
              </xsd:all>
            </xsd:complexType>
          </xsd:element>
        </xsd:sequence>
      </xsd:complexType>
    </xsd:element>
  </xsd:schema>
  <xsd:schema xmlns:xsd="http://www.w3.org/2001/XMLSchema" xmlns:dms="http://schemas.microsoft.com/office/2006/documentManagement/types" targetNamespace="76414393-1dbb-4232-8691-371b83ebe9e8" elementFormDefault="qualified">
    <xsd:import namespace="http://schemas.microsoft.com/office/2006/documentManagement/types"/>
    <xsd:element name="Document_x0020_Type" ma:index="8" nillable="true" ma:displayName="Document Type" ma:list="{12d8cf0d-f925-4c05-a2aa-3a7af7896766}" ma:internalName="Document_x0020_Type" ma:showField="Title" ma:web="76414393-1dbb-4232-8691-371b83ebe9e8">
      <xsd:simpleType>
        <xsd:restriction base="dms:Lookup"/>
      </xsd:simpleType>
    </xsd:element>
    <xsd:element name="Document_x0020_Status" ma:index="9" nillable="true" ma:displayName="Document Status" ma:list="{24c4a1af-0728-41ab-bf56-9633c90d7eae}" ma:internalName="Document_x0020_Status" ma:showField="Title" ma:web="76414393-1dbb-4232-8691-371b83ebe9e8">
      <xsd:simpleType>
        <xsd:restriction base="dms:Lookup"/>
      </xsd:simpleType>
    </xsd:element>
    <xsd:element name="ParentContentType" ma:index="10" nillable="true" ma:displayName="ParentContentType" ma:hidden="true" ma:internalName="ParentContentType" ma:readOnly="false">
      <xsd:simpleType>
        <xsd:restriction base="dms:Text">
          <xsd:maxLength value="255"/>
        </xsd:restriction>
      </xsd:simpleType>
    </xsd:element>
    <xsd:element name="ParentID" ma:index="11" nillable="true" ma:displayName="ParentID" ma:decimals="0" ma:description="Item ID of Parent Folder in Work Library" ma:hidden="true" ma:internalName="ParentID" ma:readOnly="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spe:Receivers xmlns:spe="http://schemas.microsoft.com/sharepoint/events">
  <Receiver>
    <Name/>
    <Type>10001</Type>
    <SequenceNumber>10000</SequenceNumber>
    <Assembly>MOSS.Mercury.SNP.EventReceivers, Version=1.0.0.0, Culture=neutral, PublicKeyToken=40f74563e4281ab1</Assembly>
    <Class>MOSS.Mercury.SNP.EventReceivers.MercuryDocumentItemEventReceiver</Class>
    <Data/>
    <Filter/>
  </Receiver>
</spe:Receivers>
</file>

<file path=customXml/itemProps1.xml><?xml version="1.0" encoding="utf-8"?>
<ds:datastoreItem xmlns:ds="http://schemas.openxmlformats.org/officeDocument/2006/customXml" ds:itemID="{42E63167-EEA1-4726-BB19-628A0607923D}">
  <ds:schemaRefs>
    <ds:schemaRef ds:uri="http://schemas.microsoft.com/sharepoint/v3/contenttype/forms"/>
  </ds:schemaRefs>
</ds:datastoreItem>
</file>

<file path=customXml/itemProps2.xml><?xml version="1.0" encoding="utf-8"?>
<ds:datastoreItem xmlns:ds="http://schemas.openxmlformats.org/officeDocument/2006/customXml" ds:itemID="{44081C4D-0F84-4EEB-84E1-22339E5302CB}">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76414393-1dbb-4232-8691-371b83ebe9e8"/>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96994D9-F5A1-43A6-87F9-C395D2532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14393-1dbb-4232-8691-371b83ebe9e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828C5E47-C167-4DBC-8B35-FBB239B8A82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65</vt:i4>
      </vt:variant>
    </vt:vector>
  </HeadingPairs>
  <TitlesOfParts>
    <vt:vector size="95" baseType="lpstr">
      <vt:lpstr>STATE AGENCY REVIEW INSTRUCTION</vt:lpstr>
      <vt:lpstr>SFA INSTRUCTIONS</vt:lpstr>
      <vt:lpstr>SFA PROCUREMENT TABLE</vt:lpstr>
      <vt:lpstr>Sheet1</vt:lpstr>
      <vt:lpstr>Sheet2</vt:lpstr>
      <vt:lpstr>Selection</vt:lpstr>
      <vt:lpstr>PROCUREMENT SELECTION CHART</vt:lpstr>
      <vt:lpstr>Data sets </vt:lpstr>
      <vt:lpstr>GENERAL PROCUREMENT PROCEDURES</vt:lpstr>
      <vt:lpstr>MICROPURCHASES</vt:lpstr>
      <vt:lpstr>SMALL PURCHASES</vt:lpstr>
      <vt:lpstr>FORMAL PROCUREMENT (IFB &amp; RFP)</vt:lpstr>
      <vt:lpstr>FOOD SVC MANAGEMENT COMPANIES</vt:lpstr>
      <vt:lpstr>PROCESSING</vt:lpstr>
      <vt:lpstr>SA PRE-APPROVAL FSMC CHECKLIST</vt:lpstr>
      <vt:lpstr>GENL PROCUREMENT STND FINDINGS</vt:lpstr>
      <vt:lpstr>MICROPURCHASE FINDINGS</vt:lpstr>
      <vt:lpstr>SMALL PURCHASES FINDINGS</vt:lpstr>
      <vt:lpstr>FORMAL PROCUREMENT FINDINGS</vt:lpstr>
      <vt:lpstr>PROCESSING FINDINGS</vt:lpstr>
      <vt:lpstr>FSMC RENEWAL FINDINGS</vt:lpstr>
      <vt:lpstr>PRE-APPROVAL FSMC FINDINGS </vt:lpstr>
      <vt:lpstr>2 CFR 200 SERIES</vt:lpstr>
      <vt:lpstr>Appendix II to 2 CFR 200</vt:lpstr>
      <vt:lpstr>Allowable cost 2 CFR 200.400</vt:lpstr>
      <vt:lpstr>7 CFR 210.16</vt:lpstr>
      <vt:lpstr>7 CFR 210.21</vt:lpstr>
      <vt:lpstr>7 CFR PART 210.23 RECORDS</vt:lpstr>
      <vt:lpstr>7 CFR 200.30-.39</vt:lpstr>
      <vt:lpstr>7 CFR 250.50-54</vt:lpstr>
      <vt:lpstr>Answers</vt:lpstr>
      <vt:lpstr>Answers2</vt:lpstr>
      <vt:lpstr>Answers3</vt:lpstr>
      <vt:lpstr>Answerstwo</vt:lpstr>
      <vt:lpstr>'Allowable cost 2 CFR 200.400'!atta</vt:lpstr>
      <vt:lpstr>Base_Year</vt:lpstr>
      <vt:lpstr>contract</vt:lpstr>
      <vt:lpstr>contract3</vt:lpstr>
      <vt:lpstr>contracts</vt:lpstr>
      <vt:lpstr>contracts5</vt:lpstr>
      <vt:lpstr>contractyear</vt:lpstr>
      <vt:lpstr>contractyears</vt:lpstr>
      <vt:lpstr>contractyearselect</vt:lpstr>
      <vt:lpstr>'Allowable cost 2 CFR 200.400'!d</vt:lpstr>
      <vt:lpstr>duration</vt:lpstr>
      <vt:lpstr>'Allowable cost 2 CFR 200.400'!e</vt:lpstr>
      <vt:lpstr>'Allowable cost 2 CFR 200.400'!f</vt:lpstr>
      <vt:lpstr>formalamounts</vt:lpstr>
      <vt:lpstr>formalsmallpurchase</vt:lpstr>
      <vt:lpstr>formalsmallpurchase1</vt:lpstr>
      <vt:lpstr>FSMC_year</vt:lpstr>
      <vt:lpstr>'Allowable cost 2 CFR 200.400'!g</vt:lpstr>
      <vt:lpstr>'Allowable cost 2 CFR 200.400'!h</vt:lpstr>
      <vt:lpstr>invitation2</vt:lpstr>
      <vt:lpstr>microamounts</vt:lpstr>
      <vt:lpstr>micropurchase</vt:lpstr>
      <vt:lpstr>micropurchase_method</vt:lpstr>
      <vt:lpstr>micropurchase_methods</vt:lpstr>
      <vt:lpstr>micropurchaselist</vt:lpstr>
      <vt:lpstr>Micropurchases</vt:lpstr>
      <vt:lpstr>numberofpurchases</vt:lpstr>
      <vt:lpstr>numberofsmall</vt:lpstr>
      <vt:lpstr>numberofsmall2</vt:lpstr>
      <vt:lpstr>passthrough</vt:lpstr>
      <vt:lpstr>processing</vt:lpstr>
      <vt:lpstr>Processingduration</vt:lpstr>
      <vt:lpstr>processingoptions</vt:lpstr>
      <vt:lpstr>processingsolicittype</vt:lpstr>
      <vt:lpstr>processingsolicitwithother</vt:lpstr>
      <vt:lpstr>processingtypes</vt:lpstr>
      <vt:lpstr>processingyear</vt:lpstr>
      <vt:lpstr>processingyears</vt:lpstr>
      <vt:lpstr>rebatefrequency</vt:lpstr>
      <vt:lpstr>renewalyears</vt:lpstr>
      <vt:lpstr>select</vt:lpstr>
      <vt:lpstr>smallpurchase</vt:lpstr>
      <vt:lpstr>smallpurchaseamount</vt:lpstr>
      <vt:lpstr>smallpurchasemethods</vt:lpstr>
      <vt:lpstr>smallpurchases</vt:lpstr>
      <vt:lpstr>solicitation</vt:lpstr>
      <vt:lpstr>solicitation2</vt:lpstr>
      <vt:lpstr>solicitations</vt:lpstr>
      <vt:lpstr>solicitations2</vt:lpstr>
      <vt:lpstr>solicitations3</vt:lpstr>
      <vt:lpstr>solicitations4</vt:lpstr>
      <vt:lpstr>solicitationtypewithother</vt:lpstr>
      <vt:lpstr>three</vt:lpstr>
      <vt:lpstr>two</vt:lpstr>
      <vt:lpstr>typeofcontract</vt:lpstr>
      <vt:lpstr>types</vt:lpstr>
      <vt:lpstr>value</vt:lpstr>
      <vt:lpstr>value4</vt:lpstr>
      <vt:lpstr>values</vt:lpstr>
      <vt:lpstr>values3</vt:lpstr>
      <vt:lpstr>values4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PROCUREMENT REVIEW TOOL FY18-19</dc:title>
  <dc:subject>12</dc:subject>
  <dc:creator>Windows User</dc:creator>
  <cp:lastModifiedBy>Hickey, Darla</cp:lastModifiedBy>
  <cp:lastPrinted>2019-02-05T18:17:40Z</cp:lastPrinted>
  <dcterms:created xsi:type="dcterms:W3CDTF">2014-01-07T13:36:38Z</dcterms:created>
  <dcterms:modified xsi:type="dcterms:W3CDTF">2025-11-17T17:07:45Z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0x0101003CAA27F9BB162844A957B453487AD27500CEBE9043B180804094C552881CAC7CD8</vt:lpwstr>
  </property>
  <property fmtid="{D5CDD505-2E9C-101B-9397-08002B2CF9AE}" pid="3" name="O-o-D">
    <vt:lpwstr>false</vt:lpwstr>
  </property>
  <property fmtid="{D5CDD505-2E9C-101B-9397-08002B2CF9AE}" pid="4" name="Format">
    <vt:lpwstr>Technical Assistance</vt:lpwstr>
  </property>
  <property fmtid="{D5CDD505-2E9C-101B-9397-08002B2CF9AE}" pid="5" name="PGM">
    <vt:lpwstr>SP</vt:lpwstr>
  </property>
  <property fmtid="{D5CDD505-2E9C-101B-9397-08002B2CF9AE}" pid="6" name="Status">
    <vt:lpwstr>active</vt:lpwstr>
  </property>
  <property fmtid="{D5CDD505-2E9C-101B-9397-08002B2CF9AE}" pid="7" name="_dlc_DocIdItemGuid">
    <vt:lpwstr>2cb6c5f9-7797-4294-8681-a7b28aaafce6</vt:lpwstr>
  </property>
  <property fmtid="{D5CDD505-2E9C-101B-9397-08002B2CF9AE}" pid="8" name="_dlc_DocId">
    <vt:lpwstr>TAJ556MMHHRD-1196466982-1589</vt:lpwstr>
  </property>
  <property fmtid="{D5CDD505-2E9C-101B-9397-08002B2CF9AE}" pid="9" name="_dlc_DocIdUrl">
    <vt:lpwstr>https://fncspro.usda.net/collaboration/pmos/_layouts/15/DocIdRedir.aspx?ID=TAJ556MMHHRD-1196466982-1589, TAJ556MMHHRD-1196466982-1589</vt:lpwstr>
  </property>
</Properties>
</file>